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08"/>
  <workbookPr codeName="ThisWorkbook" defaultThemeVersion="124226"/>
  <mc:AlternateContent xmlns:mc="http://schemas.openxmlformats.org/markup-compatibility/2006">
    <mc:Choice Requires="x15">
      <x15ac:absPath xmlns:x15ac="http://schemas.microsoft.com/office/spreadsheetml/2010/11/ac" url="/Users/hdreves/Desktop/2018_11 FinanceRE Site Redesign/CREST Spreadsheets/"/>
    </mc:Choice>
  </mc:AlternateContent>
  <xr:revisionPtr revIDLastSave="0" documentId="13_ncr:1_{B3DDF6FF-C39C-E540-AF80-795BF3409E0F}" xr6:coauthVersionLast="40" xr6:coauthVersionMax="40" xr10:uidLastSave="{00000000-0000-0000-0000-000000000000}"/>
  <bookViews>
    <workbookView xWindow="2140" yWindow="460" windowWidth="19240" windowHeight="10780" tabRatio="725" xr2:uid="{00000000-000D-0000-FFFF-FFFF00000000}"/>
  </bookViews>
  <sheets>
    <sheet name="Introduction" sheetId="6" r:id="rId1"/>
    <sheet name="Inputs" sheetId="7" r:id="rId2"/>
    <sheet name="Summary Results" sheetId="9" r:id="rId3"/>
    <sheet name="Annual Cash Flows &amp; Returns" sheetId="10" r:id="rId4"/>
    <sheet name="Cash Flow" sheetId="11" r:id="rId5"/>
    <sheet name="Complex Inputs" sheetId="12" r:id="rId6"/>
  </sheets>
  <definedNames>
    <definedName name="_ftn1" localSheetId="1">Inputs!#REF!</definedName>
    <definedName name="_ftnref1" localSheetId="1">Inputs!$E$90</definedName>
    <definedName name="_xlnm.Print_Area" localSheetId="0">Introduction!$B$2:$D$43</definedName>
    <definedName name="solver_adj" localSheetId="1" hidden="1">Inputs!$G$47</definedName>
    <definedName name="solver_cvg" localSheetId="1" hidden="1">0.0001</definedName>
    <definedName name="solver_drv" localSheetId="1" hidden="1">1</definedName>
    <definedName name="solver_est" localSheetId="1" hidden="1">1</definedName>
    <definedName name="solver_itr" localSheetId="1" hidden="1">100</definedName>
    <definedName name="solver_lhs1" localSheetId="1" hidden="1">Inputs!$G$52</definedName>
    <definedName name="solver_lhs2" localSheetId="1" hidden="1">Inputs!$G$55</definedName>
    <definedName name="solver_lin" localSheetId="1" hidden="1">2</definedName>
    <definedName name="solver_neg" localSheetId="1" hidden="1">2</definedName>
    <definedName name="solver_num" localSheetId="1" hidden="1">2</definedName>
    <definedName name="solver_nwt" localSheetId="1" hidden="1">1</definedName>
    <definedName name="solver_opt" localSheetId="1" hidden="1">Inputs!$U$62</definedName>
    <definedName name="solver_pre" localSheetId="1" hidden="1">0.000001</definedName>
    <definedName name="solver_rel1" localSheetId="1" hidden="1">3</definedName>
    <definedName name="solver_rel2" localSheetId="1" hidden="1">3</definedName>
    <definedName name="solver_rhs1" localSheetId="1" hidden="1">Inputs!$G$51</definedName>
    <definedName name="solver_rhs2" localSheetId="1" hidden="1">Inputs!$G$54</definedName>
    <definedName name="solver_scl" localSheetId="1" hidden="1">2</definedName>
    <definedName name="solver_sho" localSheetId="1" hidden="1">2</definedName>
    <definedName name="solver_tim" localSheetId="1" hidden="1">100</definedName>
    <definedName name="solver_tol" localSheetId="1" hidden="1">0.05</definedName>
    <definedName name="solver_typ" localSheetId="1" hidden="1">2</definedName>
    <definedName name="solver_val" localSheetId="1" hidden="1">0</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T18" i="7" l="1"/>
  <c r="R18" i="7"/>
  <c r="H18" i="11"/>
  <c r="I18" i="11"/>
  <c r="J18" i="11"/>
  <c r="K18" i="11"/>
  <c r="L18" i="11"/>
  <c r="M18" i="11"/>
  <c r="N18" i="11"/>
  <c r="O18" i="11"/>
  <c r="P18" i="11"/>
  <c r="Q18" i="11"/>
  <c r="R18" i="11"/>
  <c r="S18" i="11"/>
  <c r="T18" i="11"/>
  <c r="U18" i="11"/>
  <c r="V18" i="11"/>
  <c r="W18" i="11"/>
  <c r="X18" i="11"/>
  <c r="Y18" i="11"/>
  <c r="Z18" i="11"/>
  <c r="AA18" i="11"/>
  <c r="AB18" i="11"/>
  <c r="AC18" i="11"/>
  <c r="AD18" i="11"/>
  <c r="AE18" i="11"/>
  <c r="AF18" i="11"/>
  <c r="AG18" i="11"/>
  <c r="AH18" i="11"/>
  <c r="AI18" i="11"/>
  <c r="AJ18" i="11"/>
  <c r="G18" i="11"/>
  <c r="Q170" i="11"/>
  <c r="R170" i="11"/>
  <c r="S170" i="11"/>
  <c r="T170" i="11"/>
  <c r="U170" i="11"/>
  <c r="V170" i="11"/>
  <c r="W170" i="11"/>
  <c r="X170" i="11"/>
  <c r="Y170" i="11"/>
  <c r="Z170" i="11"/>
  <c r="AA170" i="11"/>
  <c r="AB170" i="11"/>
  <c r="AC170" i="11"/>
  <c r="AD170" i="11"/>
  <c r="AE170" i="11"/>
  <c r="AF170" i="11"/>
  <c r="AG170" i="11"/>
  <c r="AH170" i="11"/>
  <c r="AI170" i="11"/>
  <c r="AJ170" i="11"/>
  <c r="H169" i="11"/>
  <c r="I169" i="11"/>
  <c r="J169" i="11"/>
  <c r="K169" i="11"/>
  <c r="L169" i="11"/>
  <c r="M169" i="11"/>
  <c r="N169" i="11"/>
  <c r="O169" i="11"/>
  <c r="P169" i="11"/>
  <c r="Q169" i="11"/>
  <c r="R169" i="11"/>
  <c r="S169" i="11"/>
  <c r="T169" i="11"/>
  <c r="U169" i="11"/>
  <c r="V169" i="11"/>
  <c r="W169" i="11"/>
  <c r="X169" i="11"/>
  <c r="Y169" i="11"/>
  <c r="Z169" i="11"/>
  <c r="AA169" i="11"/>
  <c r="AB169" i="11"/>
  <c r="AC169" i="11"/>
  <c r="AD169" i="11"/>
  <c r="AE169" i="11"/>
  <c r="AF169" i="11"/>
  <c r="AG169" i="11"/>
  <c r="AH169" i="11"/>
  <c r="AI169" i="11"/>
  <c r="AJ169" i="11"/>
  <c r="G65" i="7" l="1"/>
  <c r="H184" i="11" l="1"/>
  <c r="I184" i="11"/>
  <c r="J184" i="11"/>
  <c r="K184" i="11"/>
  <c r="L184" i="11"/>
  <c r="M184" i="11"/>
  <c r="N184" i="11"/>
  <c r="O184" i="11"/>
  <c r="P184" i="11"/>
  <c r="Q184" i="11"/>
  <c r="R184" i="11"/>
  <c r="S184" i="11"/>
  <c r="T184" i="11"/>
  <c r="U184" i="11"/>
  <c r="V184" i="11"/>
  <c r="W184" i="11"/>
  <c r="X184" i="11"/>
  <c r="Y184" i="11"/>
  <c r="Z184" i="11"/>
  <c r="AA184" i="11"/>
  <c r="AB184" i="11"/>
  <c r="AC184" i="11"/>
  <c r="AD184" i="11"/>
  <c r="AE184" i="11"/>
  <c r="AF184" i="11"/>
  <c r="AG184" i="11"/>
  <c r="AH184" i="11"/>
  <c r="AI184" i="11"/>
  <c r="AJ184" i="11"/>
  <c r="G184" i="11"/>
  <c r="G20" i="11" l="1"/>
  <c r="R39" i="7"/>
  <c r="R37" i="7"/>
  <c r="D45" i="9"/>
  <c r="D23" i="9" l="1"/>
  <c r="D21" i="9"/>
  <c r="D42" i="9"/>
  <c r="D43" i="9" s="1"/>
  <c r="N20" i="7" l="1"/>
  <c r="V41" i="11"/>
  <c r="W41" i="11"/>
  <c r="X41" i="11"/>
  <c r="Y41" i="11"/>
  <c r="Z41" i="11"/>
  <c r="AA41" i="11"/>
  <c r="AB41" i="11"/>
  <c r="AC41" i="11"/>
  <c r="AD41" i="11"/>
  <c r="AE41" i="11"/>
  <c r="AF41" i="11"/>
  <c r="AG41" i="11"/>
  <c r="AH41" i="11"/>
  <c r="AI41" i="11"/>
  <c r="AJ41" i="11"/>
  <c r="H204" i="11"/>
  <c r="I204" i="11"/>
  <c r="J204" i="11"/>
  <c r="K204" i="11"/>
  <c r="L204" i="11"/>
  <c r="M204" i="11"/>
  <c r="N204" i="11"/>
  <c r="O204" i="11"/>
  <c r="AA204" i="11"/>
  <c r="AB204" i="11"/>
  <c r="AC204" i="11"/>
  <c r="AD204" i="11"/>
  <c r="AE204" i="11"/>
  <c r="AF204" i="11"/>
  <c r="AG204" i="11"/>
  <c r="AH204" i="11"/>
  <c r="AI204" i="11"/>
  <c r="AJ204" i="11"/>
  <c r="G204" i="11"/>
  <c r="H203" i="11"/>
  <c r="I203" i="11"/>
  <c r="J203" i="11"/>
  <c r="V203" i="11"/>
  <c r="W203" i="11"/>
  <c r="X203" i="11"/>
  <c r="Y203" i="11"/>
  <c r="Z203" i="11"/>
  <c r="AA203" i="11"/>
  <c r="AB203" i="11"/>
  <c r="AC203" i="11"/>
  <c r="AD203" i="11"/>
  <c r="AE203" i="11"/>
  <c r="AF203" i="11"/>
  <c r="AG203" i="11"/>
  <c r="AH203" i="11"/>
  <c r="AI203" i="11"/>
  <c r="AJ203" i="11"/>
  <c r="G203" i="11"/>
  <c r="N201" i="11"/>
  <c r="O201" i="11"/>
  <c r="P201" i="11"/>
  <c r="Q201" i="11"/>
  <c r="R201" i="11"/>
  <c r="S201" i="11"/>
  <c r="T201" i="11"/>
  <c r="U201" i="11"/>
  <c r="V201" i="11"/>
  <c r="W201" i="11"/>
  <c r="X201" i="11"/>
  <c r="Y201" i="11"/>
  <c r="Z201" i="11"/>
  <c r="AA201" i="11"/>
  <c r="AB201" i="11"/>
  <c r="AC201" i="11"/>
  <c r="AD201" i="11"/>
  <c r="AE201" i="11"/>
  <c r="AF201" i="11"/>
  <c r="AG201" i="11"/>
  <c r="AH201" i="11"/>
  <c r="AI201" i="11"/>
  <c r="AJ201" i="11"/>
  <c r="H202" i="11"/>
  <c r="I202" i="11"/>
  <c r="U202" i="11"/>
  <c r="V202" i="11"/>
  <c r="W202" i="11"/>
  <c r="X202" i="11"/>
  <c r="Y202" i="11"/>
  <c r="Z202" i="11"/>
  <c r="AA202" i="11"/>
  <c r="AB202" i="11"/>
  <c r="AC202" i="11"/>
  <c r="AD202" i="11"/>
  <c r="AE202" i="11"/>
  <c r="AF202" i="11"/>
  <c r="AG202" i="11"/>
  <c r="AH202" i="11"/>
  <c r="AI202" i="11"/>
  <c r="AJ202" i="11"/>
  <c r="G202" i="11"/>
  <c r="H138" i="11"/>
  <c r="I138" i="11"/>
  <c r="J138" i="11"/>
  <c r="K138" i="11"/>
  <c r="L138" i="11"/>
  <c r="M138" i="11"/>
  <c r="N138" i="11"/>
  <c r="O138" i="11"/>
  <c r="P138" i="11"/>
  <c r="Q138" i="11"/>
  <c r="R138" i="11"/>
  <c r="S138" i="11"/>
  <c r="T138" i="11"/>
  <c r="U138" i="11"/>
  <c r="V138" i="11"/>
  <c r="W138" i="11"/>
  <c r="X138" i="11"/>
  <c r="Y138" i="11"/>
  <c r="AA138" i="11"/>
  <c r="AB138" i="11"/>
  <c r="AC138" i="11"/>
  <c r="AD138" i="11"/>
  <c r="AE138" i="11"/>
  <c r="AF138" i="11"/>
  <c r="AG138" i="11"/>
  <c r="AH138" i="11"/>
  <c r="AI138" i="11"/>
  <c r="AJ138" i="11"/>
  <c r="H135" i="11"/>
  <c r="I135" i="11"/>
  <c r="J135" i="11"/>
  <c r="K135" i="11"/>
  <c r="L135" i="11"/>
  <c r="M135" i="11"/>
  <c r="N135" i="11"/>
  <c r="O135" i="11"/>
  <c r="P135" i="11"/>
  <c r="Q135" i="11"/>
  <c r="R135" i="11"/>
  <c r="S135" i="11"/>
  <c r="T135" i="11"/>
  <c r="V135" i="11"/>
  <c r="W135" i="11"/>
  <c r="X135" i="11"/>
  <c r="Y135" i="11"/>
  <c r="Z135" i="11"/>
  <c r="AA135" i="11"/>
  <c r="AB135" i="11"/>
  <c r="AC135" i="11"/>
  <c r="AD135" i="11"/>
  <c r="AE135" i="11"/>
  <c r="AF135" i="11"/>
  <c r="AG135" i="11"/>
  <c r="AH135" i="11"/>
  <c r="AI135" i="11"/>
  <c r="AJ135" i="11"/>
  <c r="G138" i="11"/>
  <c r="G139" i="11" s="1"/>
  <c r="G140" i="11" s="1"/>
  <c r="G135" i="11"/>
  <c r="G136" i="11" s="1"/>
  <c r="G137" i="11" s="1"/>
  <c r="E138" i="11"/>
  <c r="Z138" i="11" s="1"/>
  <c r="E135" i="11"/>
  <c r="U135" i="11" s="1"/>
  <c r="E132" i="11"/>
  <c r="J202" i="11" s="1"/>
  <c r="P56" i="7"/>
  <c r="P54" i="7"/>
  <c r="P52" i="7"/>
  <c r="P50" i="7"/>
  <c r="N55" i="7"/>
  <c r="N53" i="7"/>
  <c r="N51" i="7"/>
  <c r="S202" i="11" l="1"/>
  <c r="Q202" i="11"/>
  <c r="O202" i="11"/>
  <c r="M202" i="11"/>
  <c r="K202" i="11"/>
  <c r="T202" i="11"/>
  <c r="R202" i="11"/>
  <c r="P202" i="11"/>
  <c r="N202" i="11"/>
  <c r="L202" i="11"/>
  <c r="Z204" i="11"/>
  <c r="X204" i="11"/>
  <c r="V204" i="11"/>
  <c r="T204" i="11"/>
  <c r="R204" i="11"/>
  <c r="P204" i="11"/>
  <c r="Y204" i="11"/>
  <c r="W204" i="11"/>
  <c r="U204" i="11"/>
  <c r="S204" i="11"/>
  <c r="Q204" i="11"/>
  <c r="T203" i="11"/>
  <c r="R203" i="11"/>
  <c r="P203" i="11"/>
  <c r="N203" i="11"/>
  <c r="L203" i="11"/>
  <c r="U203" i="11"/>
  <c r="S203" i="11"/>
  <c r="Q203" i="11"/>
  <c r="O203" i="11"/>
  <c r="M203" i="11"/>
  <c r="K203" i="11"/>
  <c r="H136" i="11"/>
  <c r="H137" i="11" s="1"/>
  <c r="H139" i="11"/>
  <c r="H140" i="11" s="1"/>
  <c r="L183" i="11"/>
  <c r="M183" i="11"/>
  <c r="N183" i="11"/>
  <c r="O183" i="11"/>
  <c r="P183" i="11"/>
  <c r="Q183" i="11"/>
  <c r="R183" i="11"/>
  <c r="S183" i="11"/>
  <c r="T183" i="11"/>
  <c r="U183" i="11"/>
  <c r="V183" i="11"/>
  <c r="W183" i="11"/>
  <c r="X183" i="11"/>
  <c r="Y183" i="11"/>
  <c r="Z183" i="11"/>
  <c r="AA183" i="11"/>
  <c r="AB183" i="11"/>
  <c r="AC183" i="11"/>
  <c r="AD183" i="11"/>
  <c r="AE183" i="11"/>
  <c r="AF183" i="11"/>
  <c r="AG183" i="11"/>
  <c r="AH183" i="11"/>
  <c r="AI183" i="11"/>
  <c r="AJ183" i="11"/>
  <c r="I136" i="11" l="1"/>
  <c r="J136" i="11" s="1"/>
  <c r="I139" i="11"/>
  <c r="J139" i="11" s="1"/>
  <c r="AA33" i="11"/>
  <c r="AB33" i="11"/>
  <c r="AC33" i="11"/>
  <c r="AD33" i="11"/>
  <c r="AE33" i="11"/>
  <c r="AF33" i="11"/>
  <c r="AG33" i="11"/>
  <c r="AH33" i="11"/>
  <c r="AI33" i="11"/>
  <c r="AJ33" i="11"/>
  <c r="G33" i="11"/>
  <c r="R33" i="7"/>
  <c r="E129" i="11"/>
  <c r="Q20" i="11"/>
  <c r="R20" i="11"/>
  <c r="S20" i="11"/>
  <c r="T20" i="11"/>
  <c r="U20" i="11"/>
  <c r="V20" i="11"/>
  <c r="W20" i="11"/>
  <c r="X20" i="11"/>
  <c r="Y20" i="11"/>
  <c r="Z20" i="11"/>
  <c r="AA20" i="11"/>
  <c r="AB20" i="11"/>
  <c r="AC20" i="11"/>
  <c r="AD20" i="11"/>
  <c r="AE20" i="11"/>
  <c r="AF20" i="11"/>
  <c r="AG20" i="11"/>
  <c r="AH20" i="11"/>
  <c r="AI20" i="11"/>
  <c r="AJ20" i="11"/>
  <c r="I137" i="11" l="1"/>
  <c r="I140" i="11"/>
  <c r="I201" i="11"/>
  <c r="K201" i="11"/>
  <c r="M201" i="11"/>
  <c r="G201" i="11"/>
  <c r="H201" i="11"/>
  <c r="J201" i="11"/>
  <c r="L201" i="11"/>
  <c r="K139" i="11"/>
  <c r="J140" i="11"/>
  <c r="K136" i="11"/>
  <c r="J137" i="11"/>
  <c r="AF28" i="11"/>
  <c r="AG28" i="11"/>
  <c r="AH28" i="11"/>
  <c r="AI28" i="11"/>
  <c r="AJ28" i="11"/>
  <c r="G28" i="11"/>
  <c r="C18" i="9"/>
  <c r="L136" i="11" l="1"/>
  <c r="K137" i="11"/>
  <c r="L139" i="11"/>
  <c r="K140" i="11"/>
  <c r="D18" i="9"/>
  <c r="G9" i="7"/>
  <c r="D20" i="9" s="1"/>
  <c r="M139" i="11" l="1"/>
  <c r="L140" i="11"/>
  <c r="M136" i="11"/>
  <c r="L137" i="11"/>
  <c r="D11" i="7"/>
  <c r="N136" i="11" l="1"/>
  <c r="M137" i="11"/>
  <c r="N139" i="11"/>
  <c r="M140" i="11"/>
  <c r="T12" i="7"/>
  <c r="O139" i="11" l="1"/>
  <c r="N140" i="11"/>
  <c r="O136" i="11"/>
  <c r="N137" i="11"/>
  <c r="L79" i="7"/>
  <c r="L80" i="7"/>
  <c r="L81" i="7"/>
  <c r="L82" i="7"/>
  <c r="L77" i="7"/>
  <c r="N79" i="7"/>
  <c r="N80" i="7"/>
  <c r="N81" i="7"/>
  <c r="N82" i="7"/>
  <c r="N78" i="7"/>
  <c r="N77" i="7"/>
  <c r="O78" i="7"/>
  <c r="O79" i="7"/>
  <c r="O80" i="7"/>
  <c r="O81" i="7"/>
  <c r="O82" i="7"/>
  <c r="O77" i="7"/>
  <c r="N49" i="7"/>
  <c r="N42" i="7"/>
  <c r="N41" i="7"/>
  <c r="N35" i="7"/>
  <c r="N34" i="7"/>
  <c r="N33" i="7"/>
  <c r="N25" i="7"/>
  <c r="N26" i="7"/>
  <c r="N21" i="7"/>
  <c r="N14" i="7"/>
  <c r="N13" i="7"/>
  <c r="D72" i="7"/>
  <c r="D70" i="7"/>
  <c r="D58" i="7"/>
  <c r="D50" i="7"/>
  <c r="D49" i="7"/>
  <c r="D48" i="7"/>
  <c r="D47" i="7"/>
  <c r="P136" i="11" l="1"/>
  <c r="O137" i="11"/>
  <c r="P139" i="11"/>
  <c r="O140" i="11"/>
  <c r="N7" i="7"/>
  <c r="D10" i="7"/>
  <c r="D8" i="7"/>
  <c r="Q139" i="11" l="1"/>
  <c r="P140" i="11"/>
  <c r="Q136" i="11"/>
  <c r="P137" i="11"/>
  <c r="G57" i="7"/>
  <c r="R136" i="11" l="1"/>
  <c r="Q137" i="11"/>
  <c r="R139" i="11"/>
  <c r="Q140" i="11"/>
  <c r="T101" i="7"/>
  <c r="L83" i="7"/>
  <c r="L78" i="7"/>
  <c r="S139" i="11" l="1"/>
  <c r="R140" i="11"/>
  <c r="S136" i="11"/>
  <c r="R137" i="11"/>
  <c r="D39" i="9"/>
  <c r="D40" i="9" s="1"/>
  <c r="T14" i="7"/>
  <c r="T13" i="7"/>
  <c r="T15" i="7"/>
  <c r="F61" i="11"/>
  <c r="T136" i="11" l="1"/>
  <c r="S137" i="11"/>
  <c r="T139" i="11"/>
  <c r="S140" i="11"/>
  <c r="Q216" i="11"/>
  <c r="Q217" i="11"/>
  <c r="Q218" i="11"/>
  <c r="Q219" i="11"/>
  <c r="Q220" i="11"/>
  <c r="Q221" i="11"/>
  <c r="Q222" i="11"/>
  <c r="Q223" i="11"/>
  <c r="Q224" i="11"/>
  <c r="Q215" i="11"/>
  <c r="P216" i="11"/>
  <c r="P217" i="11"/>
  <c r="P218" i="11"/>
  <c r="P219" i="11"/>
  <c r="P220" i="11"/>
  <c r="P221" i="11"/>
  <c r="P222" i="11"/>
  <c r="P223" i="11"/>
  <c r="P224" i="11"/>
  <c r="P215" i="11"/>
  <c r="M215" i="11"/>
  <c r="M216" i="11"/>
  <c r="M217" i="11"/>
  <c r="M218" i="11"/>
  <c r="M219" i="11"/>
  <c r="M220" i="11"/>
  <c r="M221" i="11"/>
  <c r="M222" i="11"/>
  <c r="M223" i="11"/>
  <c r="M224" i="11"/>
  <c r="L215" i="11"/>
  <c r="L216" i="11"/>
  <c r="L217" i="11"/>
  <c r="L218" i="11"/>
  <c r="L219" i="11"/>
  <c r="L220" i="11"/>
  <c r="L221" i="11"/>
  <c r="L222" i="11"/>
  <c r="L223" i="11"/>
  <c r="L224" i="11"/>
  <c r="I215" i="11"/>
  <c r="I216" i="11"/>
  <c r="I217" i="11"/>
  <c r="I218" i="11"/>
  <c r="I219" i="11"/>
  <c r="I220" i="11"/>
  <c r="I221" i="11"/>
  <c r="I222" i="11"/>
  <c r="I223" i="11"/>
  <c r="I224" i="11"/>
  <c r="H215" i="11"/>
  <c r="H216" i="11"/>
  <c r="H217" i="11"/>
  <c r="H218" i="11"/>
  <c r="H219" i="11"/>
  <c r="H220" i="11"/>
  <c r="H221" i="11"/>
  <c r="H222" i="11"/>
  <c r="H223" i="11"/>
  <c r="H224" i="11"/>
  <c r="F13" i="11"/>
  <c r="F12" i="11" s="1"/>
  <c r="C129" i="12"/>
  <c r="G16" i="11"/>
  <c r="H16" i="11" s="1"/>
  <c r="I16" i="11" s="1"/>
  <c r="J16" i="11" s="1"/>
  <c r="K16" i="11" s="1"/>
  <c r="L16" i="11" s="1"/>
  <c r="M16" i="11" s="1"/>
  <c r="N16" i="11" s="1"/>
  <c r="O16" i="11" s="1"/>
  <c r="P16" i="11" s="1"/>
  <c r="Q16" i="11" s="1"/>
  <c r="R16" i="11" s="1"/>
  <c r="S16" i="11" s="1"/>
  <c r="T16" i="11" s="1"/>
  <c r="U16" i="11" s="1"/>
  <c r="V16" i="11" s="1"/>
  <c r="W16" i="11" s="1"/>
  <c r="X16" i="11" s="1"/>
  <c r="Y16" i="11" s="1"/>
  <c r="Z16" i="11" s="1"/>
  <c r="AA16" i="11" s="1"/>
  <c r="AB16" i="11" s="1"/>
  <c r="AC16" i="11" s="1"/>
  <c r="AD16" i="11" s="1"/>
  <c r="AE16" i="11" s="1"/>
  <c r="AF16" i="11" s="1"/>
  <c r="AG16" i="11" s="1"/>
  <c r="AH16" i="11" s="1"/>
  <c r="AI16" i="11" s="1"/>
  <c r="AJ16" i="11" s="1"/>
  <c r="G32" i="11"/>
  <c r="H32" i="11" s="1"/>
  <c r="I32" i="11" s="1"/>
  <c r="J32" i="11" s="1"/>
  <c r="K32" i="11" s="1"/>
  <c r="L32" i="11" s="1"/>
  <c r="M32" i="11" s="1"/>
  <c r="N32" i="11" s="1"/>
  <c r="O32" i="11" s="1"/>
  <c r="P32" i="11" s="1"/>
  <c r="Q32" i="11" s="1"/>
  <c r="R32" i="11" s="1"/>
  <c r="S32" i="11" s="1"/>
  <c r="T32" i="11" s="1"/>
  <c r="U32" i="11" s="1"/>
  <c r="V32" i="11" s="1"/>
  <c r="W32" i="11" s="1"/>
  <c r="X32" i="11" s="1"/>
  <c r="Y32" i="11" s="1"/>
  <c r="Z32" i="11" s="1"/>
  <c r="AA32" i="11" s="1"/>
  <c r="AB32" i="11" s="1"/>
  <c r="AC32" i="11" s="1"/>
  <c r="AD32" i="11" s="1"/>
  <c r="AE32" i="11" s="1"/>
  <c r="AF32" i="11" s="1"/>
  <c r="AG32" i="11" s="1"/>
  <c r="AH32" i="11" s="1"/>
  <c r="AI32" i="11" s="1"/>
  <c r="AJ32" i="11" s="1"/>
  <c r="U139" i="11" l="1"/>
  <c r="T140" i="11"/>
  <c r="U136" i="11"/>
  <c r="T137" i="11"/>
  <c r="J214" i="11"/>
  <c r="J215" i="11" s="1"/>
  <c r="J216" i="11" s="1"/>
  <c r="J217" i="11" s="1"/>
  <c r="J218" i="11" s="1"/>
  <c r="J219" i="11" s="1"/>
  <c r="J220" i="11" s="1"/>
  <c r="J221" i="11" s="1"/>
  <c r="J222" i="11" s="1"/>
  <c r="J223" i="11" s="1"/>
  <c r="B189" i="11"/>
  <c r="B175" i="11"/>
  <c r="F60" i="11"/>
  <c r="D8" i="9"/>
  <c r="V136" i="11" l="1"/>
  <c r="U137" i="11"/>
  <c r="V139" i="11"/>
  <c r="U140" i="11"/>
  <c r="AI172" i="11"/>
  <c r="AG172" i="11"/>
  <c r="AE172" i="11"/>
  <c r="AC172" i="11"/>
  <c r="AA172" i="11"/>
  <c r="Y172" i="11"/>
  <c r="W172" i="11"/>
  <c r="U172" i="11"/>
  <c r="S172" i="11"/>
  <c r="AJ186" i="11"/>
  <c r="AH186" i="11"/>
  <c r="AF186" i="11"/>
  <c r="AD186" i="11"/>
  <c r="AB186" i="11"/>
  <c r="Z186" i="11"/>
  <c r="X186" i="11"/>
  <c r="V186" i="11"/>
  <c r="T186" i="11"/>
  <c r="R186" i="11"/>
  <c r="AI186" i="11"/>
  <c r="AG186" i="11"/>
  <c r="AE186" i="11"/>
  <c r="AC186" i="11"/>
  <c r="AA186" i="11"/>
  <c r="Y186" i="11"/>
  <c r="W186" i="11"/>
  <c r="U186" i="11"/>
  <c r="S186" i="11"/>
  <c r="Q186" i="11"/>
  <c r="Q172" i="11"/>
  <c r="AJ172" i="11"/>
  <c r="AH172" i="11"/>
  <c r="AF172" i="11"/>
  <c r="AD172" i="11"/>
  <c r="AB172" i="11"/>
  <c r="Z172" i="11"/>
  <c r="X172" i="11"/>
  <c r="V172" i="11"/>
  <c r="T172" i="11"/>
  <c r="R172" i="11"/>
  <c r="H205" i="11"/>
  <c r="H48" i="11" s="1"/>
  <c r="I205" i="11"/>
  <c r="I48" i="11" s="1"/>
  <c r="J205" i="11"/>
  <c r="J48" i="11" s="1"/>
  <c r="K205" i="11"/>
  <c r="K48" i="11" s="1"/>
  <c r="L205" i="11"/>
  <c r="L48" i="11" s="1"/>
  <c r="M205" i="11"/>
  <c r="M48" i="11" s="1"/>
  <c r="N205" i="11"/>
  <c r="N48" i="11" s="1"/>
  <c r="O205" i="11"/>
  <c r="O48" i="11" s="1"/>
  <c r="P205" i="11"/>
  <c r="P48" i="11" s="1"/>
  <c r="Q205" i="11"/>
  <c r="Q48" i="11" s="1"/>
  <c r="R205" i="11"/>
  <c r="R48" i="11" s="1"/>
  <c r="S205" i="11"/>
  <c r="S48" i="11" s="1"/>
  <c r="T205" i="11"/>
  <c r="T48" i="11" s="1"/>
  <c r="U205" i="11"/>
  <c r="U48" i="11" s="1"/>
  <c r="V205" i="11"/>
  <c r="V48" i="11" s="1"/>
  <c r="W205" i="11"/>
  <c r="W48" i="11" s="1"/>
  <c r="X205" i="11"/>
  <c r="X48" i="11" s="1"/>
  <c r="Y205" i="11"/>
  <c r="Y48" i="11" s="1"/>
  <c r="Z205" i="11"/>
  <c r="Z48" i="11" s="1"/>
  <c r="AA205" i="11"/>
  <c r="AA48" i="11" s="1"/>
  <c r="AB205" i="11"/>
  <c r="AB48" i="11" s="1"/>
  <c r="AC205" i="11"/>
  <c r="AC48" i="11" s="1"/>
  <c r="AD205" i="11"/>
  <c r="AD48" i="11" s="1"/>
  <c r="AE205" i="11"/>
  <c r="AE48" i="11" s="1"/>
  <c r="AF205" i="11"/>
  <c r="AF48" i="11" s="1"/>
  <c r="AG205" i="11"/>
  <c r="AG48" i="11" s="1"/>
  <c r="AH205" i="11"/>
  <c r="AH48" i="11" s="1"/>
  <c r="AI205" i="11"/>
  <c r="AI48" i="11" s="1"/>
  <c r="AJ205" i="11"/>
  <c r="AJ48" i="11" s="1"/>
  <c r="G205" i="11"/>
  <c r="G48" i="11" s="1"/>
  <c r="H200" i="11"/>
  <c r="I200" i="11"/>
  <c r="J200" i="11"/>
  <c r="K200" i="11"/>
  <c r="L200" i="11"/>
  <c r="M200" i="11"/>
  <c r="N200" i="11"/>
  <c r="O200" i="11"/>
  <c r="P200" i="11"/>
  <c r="Q200" i="11"/>
  <c r="R200" i="11"/>
  <c r="S200" i="11"/>
  <c r="T200" i="11"/>
  <c r="U200" i="11"/>
  <c r="V200" i="11"/>
  <c r="W200" i="11"/>
  <c r="X200" i="11"/>
  <c r="Y200" i="11"/>
  <c r="AA200" i="11"/>
  <c r="AB200" i="11"/>
  <c r="AC200" i="11"/>
  <c r="AF200" i="11"/>
  <c r="AG200" i="11"/>
  <c r="AH200" i="11"/>
  <c r="AI200" i="11"/>
  <c r="I199" i="11"/>
  <c r="J199" i="11"/>
  <c r="K199" i="11"/>
  <c r="L199" i="11"/>
  <c r="M199" i="11"/>
  <c r="N199" i="11"/>
  <c r="O199" i="11"/>
  <c r="P199" i="11"/>
  <c r="Q199" i="11"/>
  <c r="R199" i="11"/>
  <c r="S199" i="11"/>
  <c r="T199" i="11"/>
  <c r="U199" i="11"/>
  <c r="W199" i="11"/>
  <c r="X199" i="11"/>
  <c r="Z199" i="11"/>
  <c r="AB199" i="11"/>
  <c r="AC199" i="11"/>
  <c r="AD199" i="11"/>
  <c r="AE199" i="11"/>
  <c r="AH199" i="11"/>
  <c r="AI199" i="11"/>
  <c r="AJ199" i="11"/>
  <c r="G31" i="11"/>
  <c r="H17" i="11"/>
  <c r="I17" i="11"/>
  <c r="J17" i="11"/>
  <c r="K17" i="11"/>
  <c r="L17" i="11"/>
  <c r="M17" i="11"/>
  <c r="N17" i="11"/>
  <c r="O17" i="11"/>
  <c r="P17" i="11"/>
  <c r="Q17" i="11"/>
  <c r="R17" i="11"/>
  <c r="S17" i="11"/>
  <c r="T17" i="11"/>
  <c r="U17" i="11"/>
  <c r="G17" i="11"/>
  <c r="O15" i="7"/>
  <c r="G120" i="12"/>
  <c r="H120" i="12"/>
  <c r="I120" i="12"/>
  <c r="J120" i="12"/>
  <c r="K120" i="12"/>
  <c r="M120" i="12"/>
  <c r="G119" i="12"/>
  <c r="H119" i="12"/>
  <c r="I119" i="12"/>
  <c r="J119" i="12"/>
  <c r="K119" i="12"/>
  <c r="L119" i="12"/>
  <c r="M119" i="12"/>
  <c r="N119" i="12"/>
  <c r="G118" i="12"/>
  <c r="H118" i="12"/>
  <c r="I118" i="12"/>
  <c r="J118" i="12"/>
  <c r="K118" i="12"/>
  <c r="L118" i="12"/>
  <c r="M118" i="12"/>
  <c r="N118" i="12"/>
  <c r="G117" i="12"/>
  <c r="H117" i="12"/>
  <c r="I117" i="12"/>
  <c r="J117" i="12"/>
  <c r="K117" i="12"/>
  <c r="L117" i="12"/>
  <c r="M117" i="12"/>
  <c r="N117" i="12"/>
  <c r="G116" i="12"/>
  <c r="H116" i="12"/>
  <c r="I116" i="12"/>
  <c r="J116" i="12"/>
  <c r="K116" i="12"/>
  <c r="L116" i="12"/>
  <c r="M116" i="12"/>
  <c r="N116" i="12"/>
  <c r="W139" i="11" l="1"/>
  <c r="V140" i="11"/>
  <c r="W136" i="11"/>
  <c r="V137" i="11"/>
  <c r="K121" i="12"/>
  <c r="I121" i="12"/>
  <c r="G121" i="12"/>
  <c r="M121" i="12"/>
  <c r="J121" i="12"/>
  <c r="H121" i="12"/>
  <c r="D9" i="9"/>
  <c r="X136" i="11" l="1"/>
  <c r="W137" i="11"/>
  <c r="X139" i="11"/>
  <c r="W140" i="11"/>
  <c r="C123" i="12"/>
  <c r="Y139" i="11" l="1"/>
  <c r="X140" i="11"/>
  <c r="Y136" i="11"/>
  <c r="X137" i="11"/>
  <c r="P35" i="10"/>
  <c r="P33" i="10"/>
  <c r="P36" i="10"/>
  <c r="P34" i="10"/>
  <c r="AI209" i="11"/>
  <c r="AI47" i="11" s="1"/>
  <c r="G35" i="10" s="1"/>
  <c r="AB209" i="11"/>
  <c r="AB47" i="11" s="1"/>
  <c r="G28" i="10" s="1"/>
  <c r="X209" i="11"/>
  <c r="X47" i="11" s="1"/>
  <c r="G24" i="10" s="1"/>
  <c r="T209" i="11"/>
  <c r="T47" i="11" s="1"/>
  <c r="G20" i="10" s="1"/>
  <c r="R209" i="11"/>
  <c r="R47" i="11" s="1"/>
  <c r="G18" i="10" s="1"/>
  <c r="P209" i="11"/>
  <c r="P47" i="11" s="1"/>
  <c r="G16" i="10" s="1"/>
  <c r="N209" i="11"/>
  <c r="N47" i="11" s="1"/>
  <c r="G14" i="10" s="1"/>
  <c r="L209" i="11"/>
  <c r="L47" i="11" s="1"/>
  <c r="G12" i="10" s="1"/>
  <c r="J209" i="11"/>
  <c r="J47" i="11" s="1"/>
  <c r="G10" i="10" s="1"/>
  <c r="AH209" i="11"/>
  <c r="AH47" i="11" s="1"/>
  <c r="G34" i="10" s="1"/>
  <c r="AC209" i="11"/>
  <c r="AC47" i="11" s="1"/>
  <c r="G29" i="10" s="1"/>
  <c r="W209" i="11"/>
  <c r="W47" i="11" s="1"/>
  <c r="G23" i="10" s="1"/>
  <c r="S209" i="11"/>
  <c r="S47" i="11" s="1"/>
  <c r="G19" i="10" s="1"/>
  <c r="Q209" i="11"/>
  <c r="Q47" i="11" s="1"/>
  <c r="G17" i="10" s="1"/>
  <c r="O209" i="11"/>
  <c r="O47" i="11" s="1"/>
  <c r="G15" i="10" s="1"/>
  <c r="M209" i="11"/>
  <c r="M47" i="11" s="1"/>
  <c r="G13" i="10" s="1"/>
  <c r="K209" i="11"/>
  <c r="K47" i="11" s="1"/>
  <c r="G11" i="10" s="1"/>
  <c r="I209" i="11"/>
  <c r="I47" i="11" s="1"/>
  <c r="G9" i="10" s="1"/>
  <c r="Z136" i="11" l="1"/>
  <c r="Y137" i="11"/>
  <c r="Z139" i="11"/>
  <c r="Y140" i="11"/>
  <c r="B72" i="11"/>
  <c r="F120" i="12"/>
  <c r="F119" i="12"/>
  <c r="F118" i="12"/>
  <c r="F117" i="12"/>
  <c r="F116" i="12"/>
  <c r="C108" i="12"/>
  <c r="C101" i="12"/>
  <c r="D101" i="12" s="1"/>
  <c r="C76" i="12"/>
  <c r="C118" i="12" s="1"/>
  <c r="C51" i="12"/>
  <c r="D51" i="12" s="1"/>
  <c r="C26" i="12"/>
  <c r="C19" i="9"/>
  <c r="H129" i="11"/>
  <c r="I129" i="11"/>
  <c r="J129" i="11"/>
  <c r="K129" i="11"/>
  <c r="L129" i="11"/>
  <c r="M129" i="11"/>
  <c r="N129" i="11"/>
  <c r="O129" i="11"/>
  <c r="Q129" i="11"/>
  <c r="S129" i="11"/>
  <c r="T129" i="11"/>
  <c r="U129" i="11"/>
  <c r="V129" i="11"/>
  <c r="W129" i="11"/>
  <c r="X129" i="11"/>
  <c r="Y129" i="11"/>
  <c r="Z129" i="11"/>
  <c r="AA129" i="11"/>
  <c r="AB129" i="11"/>
  <c r="AC129" i="11"/>
  <c r="AD129" i="11"/>
  <c r="AE129" i="11"/>
  <c r="AF129" i="11"/>
  <c r="AG129" i="11"/>
  <c r="AH129" i="11"/>
  <c r="AI129" i="11"/>
  <c r="AJ129" i="11"/>
  <c r="H132" i="11"/>
  <c r="I132" i="11"/>
  <c r="J132" i="11"/>
  <c r="K132" i="11"/>
  <c r="L132" i="11"/>
  <c r="M132" i="11"/>
  <c r="N132" i="11"/>
  <c r="O132" i="11"/>
  <c r="P132" i="11"/>
  <c r="Q132" i="11"/>
  <c r="R132" i="11"/>
  <c r="S132" i="11"/>
  <c r="T132" i="11"/>
  <c r="U132" i="11"/>
  <c r="V132" i="11"/>
  <c r="W132" i="11"/>
  <c r="X132" i="11"/>
  <c r="Y132" i="11"/>
  <c r="AA132" i="11"/>
  <c r="AB132" i="11"/>
  <c r="AC132" i="11"/>
  <c r="AD132" i="11"/>
  <c r="AE132" i="11"/>
  <c r="AF132" i="11"/>
  <c r="AG132" i="11"/>
  <c r="AH132" i="11"/>
  <c r="AI132" i="11"/>
  <c r="AJ132" i="11"/>
  <c r="G132" i="11"/>
  <c r="G133" i="11" s="1"/>
  <c r="G134" i="11" s="1"/>
  <c r="G129" i="11"/>
  <c r="G130" i="11" s="1"/>
  <c r="Z132" i="11"/>
  <c r="P129" i="11"/>
  <c r="H10" i="11"/>
  <c r="H20" i="11" s="1"/>
  <c r="H9" i="11"/>
  <c r="W104" i="11"/>
  <c r="X104" i="11"/>
  <c r="Y104" i="11"/>
  <c r="Z104" i="11"/>
  <c r="AA104" i="11"/>
  <c r="AB104" i="11"/>
  <c r="AC104" i="11"/>
  <c r="AD104" i="11"/>
  <c r="AE104" i="11"/>
  <c r="AF104" i="11"/>
  <c r="AG104" i="11"/>
  <c r="AH104" i="11"/>
  <c r="AI104" i="11"/>
  <c r="AJ104" i="11"/>
  <c r="M103" i="11"/>
  <c r="N103" i="11"/>
  <c r="O103" i="11"/>
  <c r="P103" i="11"/>
  <c r="Q103" i="11"/>
  <c r="R103" i="11"/>
  <c r="S103" i="11"/>
  <c r="T103" i="11"/>
  <c r="U103" i="11"/>
  <c r="V103" i="11"/>
  <c r="W103" i="11"/>
  <c r="X103" i="11"/>
  <c r="Y103" i="11"/>
  <c r="Z103" i="11"/>
  <c r="AA103" i="11"/>
  <c r="AB103" i="11"/>
  <c r="AC103" i="11"/>
  <c r="AD103" i="11"/>
  <c r="AE103" i="11"/>
  <c r="AF103" i="11"/>
  <c r="AG103" i="11"/>
  <c r="AH103" i="11"/>
  <c r="AI103" i="11"/>
  <c r="AJ103" i="11"/>
  <c r="F81" i="11"/>
  <c r="H26" i="11"/>
  <c r="H8" i="11"/>
  <c r="H4" i="11"/>
  <c r="F87" i="11"/>
  <c r="AJ105" i="11"/>
  <c r="AI105" i="11"/>
  <c r="AH105" i="11"/>
  <c r="AG105" i="11"/>
  <c r="AF105" i="11"/>
  <c r="AE105" i="11"/>
  <c r="AD105" i="11"/>
  <c r="AC105" i="11"/>
  <c r="AB105" i="11"/>
  <c r="AA139" i="11" l="1"/>
  <c r="Z140" i="11"/>
  <c r="AA136" i="11"/>
  <c r="Z137" i="11"/>
  <c r="H28" i="11"/>
  <c r="H33" i="11"/>
  <c r="I26" i="11"/>
  <c r="H31" i="11"/>
  <c r="I9" i="11"/>
  <c r="D26" i="12"/>
  <c r="D116" i="12" s="1"/>
  <c r="C107" i="12"/>
  <c r="L120" i="12" s="1"/>
  <c r="L121" i="12" s="1"/>
  <c r="R129" i="11"/>
  <c r="F121" i="12"/>
  <c r="C106" i="12"/>
  <c r="D117" i="12"/>
  <c r="D119" i="12"/>
  <c r="C117" i="12"/>
  <c r="C119" i="12"/>
  <c r="D76" i="12"/>
  <c r="D118" i="12" s="1"/>
  <c r="C116" i="12"/>
  <c r="G131" i="11"/>
  <c r="H130" i="11"/>
  <c r="H131" i="11" s="1"/>
  <c r="H133" i="11"/>
  <c r="H134" i="11" s="1"/>
  <c r="I10" i="11"/>
  <c r="I20" i="11" s="1"/>
  <c r="F23" i="7"/>
  <c r="I8" i="11"/>
  <c r="I4" i="11"/>
  <c r="AB136" i="11" l="1"/>
  <c r="AA137" i="11"/>
  <c r="AB139" i="11"/>
  <c r="AA140" i="11"/>
  <c r="I28" i="11"/>
  <c r="I33" i="11"/>
  <c r="J26" i="11"/>
  <c r="I31" i="11"/>
  <c r="C130" i="12"/>
  <c r="C131" i="12" s="1"/>
  <c r="C132" i="12" s="1"/>
  <c r="C133" i="12" s="1"/>
  <c r="C134" i="12" s="1"/>
  <c r="C135" i="12" s="1"/>
  <c r="C136" i="12" s="1"/>
  <c r="C137" i="12" s="1"/>
  <c r="C138" i="12" s="1"/>
  <c r="C139" i="12" s="1"/>
  <c r="C140" i="12" s="1"/>
  <c r="C141" i="12" s="1"/>
  <c r="C142" i="12" s="1"/>
  <c r="C143" i="12" s="1"/>
  <c r="C144" i="12" s="1"/>
  <c r="C145" i="12" s="1"/>
  <c r="C146" i="12" s="1"/>
  <c r="C147" i="12" s="1"/>
  <c r="C148" i="12" s="1"/>
  <c r="C149" i="12" s="1"/>
  <c r="C150" i="12" s="1"/>
  <c r="C151" i="12" s="1"/>
  <c r="C152" i="12" s="1"/>
  <c r="C153" i="12" s="1"/>
  <c r="C154" i="12" s="1"/>
  <c r="C155" i="12" s="1"/>
  <c r="C156" i="12" s="1"/>
  <c r="C157" i="12" s="1"/>
  <c r="C158" i="12" s="1"/>
  <c r="G44" i="7"/>
  <c r="J9" i="11"/>
  <c r="J8" i="11"/>
  <c r="I130" i="11"/>
  <c r="I133" i="11"/>
  <c r="I134" i="11" s="1"/>
  <c r="J10" i="11"/>
  <c r="J20" i="11" s="1"/>
  <c r="J4" i="11"/>
  <c r="AC139" i="11" l="1"/>
  <c r="AB140" i="11"/>
  <c r="AC136" i="11"/>
  <c r="AB137" i="11"/>
  <c r="J28" i="11"/>
  <c r="J33" i="11"/>
  <c r="K26" i="11"/>
  <c r="J31" i="11"/>
  <c r="K9" i="11"/>
  <c r="K8" i="11"/>
  <c r="J130" i="11"/>
  <c r="I131" i="11"/>
  <c r="J133" i="11"/>
  <c r="J134" i="11" s="1"/>
  <c r="K10" i="11"/>
  <c r="K20" i="11" s="1"/>
  <c r="K4" i="11"/>
  <c r="AD136" i="11" l="1"/>
  <c r="AC137" i="11"/>
  <c r="AD139" i="11"/>
  <c r="AC140" i="11"/>
  <c r="K28" i="11"/>
  <c r="K33" i="11"/>
  <c r="L26" i="11"/>
  <c r="K31" i="11"/>
  <c r="L9" i="11"/>
  <c r="L8" i="11"/>
  <c r="K130" i="11"/>
  <c r="J131" i="11"/>
  <c r="K133" i="11"/>
  <c r="K134" i="11" s="1"/>
  <c r="L10" i="11"/>
  <c r="L20" i="11" s="1"/>
  <c r="L4" i="11"/>
  <c r="AE139" i="11" l="1"/>
  <c r="AD140" i="11"/>
  <c r="AE136" i="11"/>
  <c r="AD137" i="11"/>
  <c r="L28" i="11"/>
  <c r="L33" i="11"/>
  <c r="M26" i="11"/>
  <c r="L31" i="11"/>
  <c r="M9" i="11"/>
  <c r="M8" i="11"/>
  <c r="L130" i="11"/>
  <c r="K131" i="11"/>
  <c r="L133" i="11"/>
  <c r="L134" i="11" s="1"/>
  <c r="M10" i="11"/>
  <c r="M20" i="11" s="1"/>
  <c r="M4" i="11"/>
  <c r="AF136" i="11" l="1"/>
  <c r="AE137" i="11"/>
  <c r="AF139" i="11"/>
  <c r="AE140" i="11"/>
  <c r="M28" i="11"/>
  <c r="M33" i="11"/>
  <c r="N26" i="11"/>
  <c r="M31" i="11"/>
  <c r="N9" i="11"/>
  <c r="N8" i="11"/>
  <c r="M130" i="11"/>
  <c r="L131" i="11"/>
  <c r="M133" i="11"/>
  <c r="M134" i="11" s="1"/>
  <c r="N10" i="11"/>
  <c r="N20" i="11" s="1"/>
  <c r="N4" i="11"/>
  <c r="AG139" i="11" l="1"/>
  <c r="AF140" i="11"/>
  <c r="AG136" i="11"/>
  <c r="AF137" i="11"/>
  <c r="N28" i="11"/>
  <c r="N33" i="11"/>
  <c r="O26" i="11"/>
  <c r="N31" i="11"/>
  <c r="O9" i="11"/>
  <c r="O8" i="11"/>
  <c r="N130" i="11"/>
  <c r="M131" i="11"/>
  <c r="N133" i="11"/>
  <c r="N134" i="11" s="1"/>
  <c r="O10" i="11"/>
  <c r="O20" i="11" s="1"/>
  <c r="O4" i="11"/>
  <c r="AH136" i="11" l="1"/>
  <c r="AG137" i="11"/>
  <c r="AH139" i="11"/>
  <c r="AG140" i="11"/>
  <c r="O28" i="11"/>
  <c r="O33" i="11"/>
  <c r="P26" i="11"/>
  <c r="O31" i="11"/>
  <c r="P9" i="11"/>
  <c r="P8" i="11"/>
  <c r="O130" i="11"/>
  <c r="N131" i="11"/>
  <c r="O133" i="11"/>
  <c r="O134" i="11" s="1"/>
  <c r="P10" i="11"/>
  <c r="P20" i="11" s="1"/>
  <c r="P4" i="11"/>
  <c r="AI139" i="11" l="1"/>
  <c r="AH140" i="11"/>
  <c r="AI136" i="11"/>
  <c r="AH137" i="11"/>
  <c r="P28" i="11"/>
  <c r="P33" i="11"/>
  <c r="Q26" i="11"/>
  <c r="P31" i="11"/>
  <c r="Q9" i="11"/>
  <c r="R9" i="11" s="1"/>
  <c r="S9" i="11" s="1"/>
  <c r="T9" i="11" s="1"/>
  <c r="U9" i="11" s="1"/>
  <c r="V9" i="11" s="1"/>
  <c r="W9" i="11" s="1"/>
  <c r="X9" i="11" s="1"/>
  <c r="Y9" i="11" s="1"/>
  <c r="Z9" i="11" s="1"/>
  <c r="AA9" i="11" s="1"/>
  <c r="AB9" i="11" s="1"/>
  <c r="AC9" i="11" s="1"/>
  <c r="AD9" i="11" s="1"/>
  <c r="AE9" i="11" s="1"/>
  <c r="AF9" i="11" s="1"/>
  <c r="AG9" i="11" s="1"/>
  <c r="AH9" i="11" s="1"/>
  <c r="AI9" i="11" s="1"/>
  <c r="AJ9" i="11" s="1"/>
  <c r="O131" i="11"/>
  <c r="P130" i="11"/>
  <c r="Q8" i="11"/>
  <c r="P133" i="11"/>
  <c r="P134" i="11" s="1"/>
  <c r="Q10" i="11"/>
  <c r="R10" i="11" s="1"/>
  <c r="S10" i="11" s="1"/>
  <c r="T10" i="11" s="1"/>
  <c r="U10" i="11" s="1"/>
  <c r="V10" i="11" s="1"/>
  <c r="W10" i="11" s="1"/>
  <c r="X10" i="11" s="1"/>
  <c r="Y10" i="11" s="1"/>
  <c r="Z10" i="11" s="1"/>
  <c r="AA10" i="11" s="1"/>
  <c r="AB10" i="11" s="1"/>
  <c r="AC10" i="11" s="1"/>
  <c r="AD10" i="11" s="1"/>
  <c r="AE10" i="11" s="1"/>
  <c r="AF10" i="11" s="1"/>
  <c r="AG10" i="11" s="1"/>
  <c r="AH10" i="11" s="1"/>
  <c r="AI10" i="11" s="1"/>
  <c r="AJ10" i="11" s="1"/>
  <c r="Q4" i="11"/>
  <c r="AJ136" i="11" l="1"/>
  <c r="AJ137" i="11" s="1"/>
  <c r="AI137" i="11"/>
  <c r="AJ139" i="11"/>
  <c r="AJ140" i="11" s="1"/>
  <c r="AI140" i="11"/>
  <c r="Q28" i="11"/>
  <c r="Q33" i="11"/>
  <c r="R26" i="11"/>
  <c r="Q31" i="11"/>
  <c r="P131" i="11"/>
  <c r="Q130" i="11"/>
  <c r="R8" i="11"/>
  <c r="Q133" i="11"/>
  <c r="Q134" i="11" s="1"/>
  <c r="R4" i="11"/>
  <c r="R28" i="11" l="1"/>
  <c r="R33" i="11"/>
  <c r="S26" i="11"/>
  <c r="R31" i="11"/>
  <c r="Q131" i="11"/>
  <c r="R130" i="11"/>
  <c r="S8" i="11"/>
  <c r="R133" i="11"/>
  <c r="R134" i="11" s="1"/>
  <c r="S4" i="11"/>
  <c r="S28" i="11" l="1"/>
  <c r="S33" i="11"/>
  <c r="T26" i="11"/>
  <c r="S31" i="11"/>
  <c r="R131" i="11"/>
  <c r="S130" i="11"/>
  <c r="T8" i="11"/>
  <c r="S133" i="11"/>
  <c r="S134" i="11" s="1"/>
  <c r="T4" i="11"/>
  <c r="T28" i="11" l="1"/>
  <c r="T33" i="11"/>
  <c r="U26" i="11"/>
  <c r="T31" i="11"/>
  <c r="S131" i="11"/>
  <c r="T130" i="11"/>
  <c r="U8" i="11"/>
  <c r="T133" i="11"/>
  <c r="T134" i="11" s="1"/>
  <c r="U4" i="11"/>
  <c r="U28" i="11" l="1"/>
  <c r="U33" i="11"/>
  <c r="V26" i="11"/>
  <c r="U31" i="11"/>
  <c r="T131" i="11"/>
  <c r="U130" i="11"/>
  <c r="V8" i="11"/>
  <c r="U133" i="11"/>
  <c r="U134" i="11" s="1"/>
  <c r="V4" i="11"/>
  <c r="V28" i="11" l="1"/>
  <c r="V33" i="11"/>
  <c r="W26" i="11"/>
  <c r="V31" i="11"/>
  <c r="V130" i="11"/>
  <c r="U131" i="11"/>
  <c r="W8" i="11"/>
  <c r="V133" i="11"/>
  <c r="V134" i="11" s="1"/>
  <c r="W4" i="11"/>
  <c r="W28" i="11" l="1"/>
  <c r="W33" i="11"/>
  <c r="X26" i="11"/>
  <c r="W31" i="11"/>
  <c r="V131" i="11"/>
  <c r="W130" i="11"/>
  <c r="X8" i="11"/>
  <c r="W133" i="11"/>
  <c r="W134" i="11" s="1"/>
  <c r="X4" i="11"/>
  <c r="X28" i="11" l="1"/>
  <c r="X33" i="11"/>
  <c r="Y26" i="11"/>
  <c r="X31" i="11"/>
  <c r="W131" i="11"/>
  <c r="X130" i="11"/>
  <c r="Y8" i="11"/>
  <c r="X133" i="11"/>
  <c r="X134" i="11" s="1"/>
  <c r="Y4" i="11"/>
  <c r="Y28" i="11" l="1"/>
  <c r="Y33" i="11"/>
  <c r="Z26" i="11"/>
  <c r="Y31" i="11"/>
  <c r="Y130" i="11"/>
  <c r="X131" i="11"/>
  <c r="Z8" i="11"/>
  <c r="Y133" i="11"/>
  <c r="Z4" i="11"/>
  <c r="Z28" i="11" l="1"/>
  <c r="Z33" i="11"/>
  <c r="AA26" i="11"/>
  <c r="AA28" i="11" s="1"/>
  <c r="Z31" i="11"/>
  <c r="Y134" i="11"/>
  <c r="Z133" i="11"/>
  <c r="Y131" i="11"/>
  <c r="Z130" i="11"/>
  <c r="AA8" i="11"/>
  <c r="AA4" i="11"/>
  <c r="AB26" i="11" l="1"/>
  <c r="AB28" i="11" s="1"/>
  <c r="AA31" i="11"/>
  <c r="Z131" i="11"/>
  <c r="AA130" i="11"/>
  <c r="Z134" i="11"/>
  <c r="AA133" i="11"/>
  <c r="AB8" i="11"/>
  <c r="AB4" i="11"/>
  <c r="AC26" i="11" l="1"/>
  <c r="AC28" i="11" s="1"/>
  <c r="AB31" i="11"/>
  <c r="AA134" i="11"/>
  <c r="AB133" i="11"/>
  <c r="AB130" i="11"/>
  <c r="AA131" i="11"/>
  <c r="AC8" i="11"/>
  <c r="AC4" i="11"/>
  <c r="AD26" i="11" l="1"/>
  <c r="AD28" i="11" s="1"/>
  <c r="AC31" i="11"/>
  <c r="AB134" i="11"/>
  <c r="AC133" i="11"/>
  <c r="AC130" i="11"/>
  <c r="AB131" i="11"/>
  <c r="AD8" i="11"/>
  <c r="AD4" i="11"/>
  <c r="AE26" i="11" l="1"/>
  <c r="AE28" i="11" s="1"/>
  <c r="AD31" i="11"/>
  <c r="AC134" i="11"/>
  <c r="AD133" i="11"/>
  <c r="AC131" i="11"/>
  <c r="AD130" i="11"/>
  <c r="AE8" i="11"/>
  <c r="AE4" i="11"/>
  <c r="AF26" i="11" l="1"/>
  <c r="AE31" i="11"/>
  <c r="AE130" i="11"/>
  <c r="AD131" i="11"/>
  <c r="AD134" i="11"/>
  <c r="AE133" i="11"/>
  <c r="AF8" i="11"/>
  <c r="AG8" i="11" s="1"/>
  <c r="AH8" i="11" s="1"/>
  <c r="AI8" i="11" s="1"/>
  <c r="AJ8" i="11" s="1"/>
  <c r="AF4" i="11"/>
  <c r="AG26" i="11" l="1"/>
  <c r="AF31" i="11"/>
  <c r="AE134" i="11"/>
  <c r="AF133" i="11"/>
  <c r="AF130" i="11"/>
  <c r="AE131" i="11"/>
  <c r="AG4" i="11"/>
  <c r="AH26" i="11" l="1"/>
  <c r="AG31" i="11"/>
  <c r="AF134" i="11"/>
  <c r="AG133" i="11"/>
  <c r="AF131" i="11"/>
  <c r="AG130" i="11"/>
  <c r="AH4" i="11"/>
  <c r="AI26" i="11" l="1"/>
  <c r="AH31" i="11"/>
  <c r="AH130" i="11"/>
  <c r="AG131" i="11"/>
  <c r="AG134" i="11"/>
  <c r="AH133" i="11"/>
  <c r="AI4" i="11"/>
  <c r="AJ26" i="11" l="1"/>
  <c r="AI31" i="11"/>
  <c r="AH134" i="11"/>
  <c r="AI133" i="11"/>
  <c r="AI130" i="11"/>
  <c r="AH131" i="11"/>
  <c r="AJ4" i="11"/>
  <c r="AJ31" i="11" l="1"/>
  <c r="AI134" i="11"/>
  <c r="AJ133" i="11"/>
  <c r="AJ134" i="11" s="1"/>
  <c r="AI131" i="11"/>
  <c r="AJ130" i="11"/>
  <c r="AJ131" i="11" s="1"/>
  <c r="B80" i="12" l="1"/>
  <c r="D35" i="9"/>
  <c r="D31" i="9"/>
  <c r="D32" i="9"/>
  <c r="D19" i="9"/>
  <c r="D22" i="9"/>
  <c r="D30" i="9"/>
  <c r="G74" i="7"/>
  <c r="D37" i="9" l="1"/>
  <c r="D36" i="9"/>
  <c r="D34" i="9"/>
  <c r="D33" i="9"/>
  <c r="AF5" i="11"/>
  <c r="AF21" i="11" s="1"/>
  <c r="AH5" i="11"/>
  <c r="AH21" i="11" s="1"/>
  <c r="AJ5" i="11"/>
  <c r="AJ21" i="11" s="1"/>
  <c r="AG5" i="11"/>
  <c r="AG21" i="11" s="1"/>
  <c r="AI5" i="11"/>
  <c r="AI21" i="11" s="1"/>
  <c r="H5" i="11"/>
  <c r="H21" i="11" s="1"/>
  <c r="I5" i="11"/>
  <c r="I21" i="11" s="1"/>
  <c r="J5" i="11"/>
  <c r="J21" i="11" s="1"/>
  <c r="K5" i="11"/>
  <c r="K21" i="11" s="1"/>
  <c r="L5" i="11"/>
  <c r="L21" i="11" s="1"/>
  <c r="M5" i="11"/>
  <c r="M21" i="11" s="1"/>
  <c r="N5" i="11"/>
  <c r="N21" i="11" s="1"/>
  <c r="O5" i="11"/>
  <c r="O21" i="11" s="1"/>
  <c r="P5" i="11"/>
  <c r="P21" i="11" s="1"/>
  <c r="Q5" i="11"/>
  <c r="R5" i="11"/>
  <c r="S5" i="11"/>
  <c r="T5" i="11"/>
  <c r="U5" i="11"/>
  <c r="V5" i="11"/>
  <c r="V21" i="11" s="1"/>
  <c r="W5" i="11"/>
  <c r="W21" i="11" s="1"/>
  <c r="X5" i="11"/>
  <c r="X21" i="11" s="1"/>
  <c r="Y5" i="11"/>
  <c r="Y21" i="11" s="1"/>
  <c r="Z5" i="11"/>
  <c r="Z21" i="11" s="1"/>
  <c r="AA5" i="11"/>
  <c r="AA21" i="11" s="1"/>
  <c r="AB5" i="11"/>
  <c r="AB21" i="11" s="1"/>
  <c r="AC5" i="11"/>
  <c r="AC21" i="11" s="1"/>
  <c r="AD5" i="11"/>
  <c r="AD21" i="11" s="1"/>
  <c r="AE5" i="11"/>
  <c r="AE21" i="11" s="1"/>
  <c r="G5" i="11"/>
  <c r="G21" i="11" s="1"/>
  <c r="U29" i="11" l="1"/>
  <c r="U21" i="11"/>
  <c r="S29" i="11"/>
  <c r="S21" i="11"/>
  <c r="Q29" i="11"/>
  <c r="Q21" i="11"/>
  <c r="T29" i="11"/>
  <c r="T21" i="11"/>
  <c r="R29" i="11"/>
  <c r="R21" i="11"/>
  <c r="P186" i="11"/>
  <c r="O186" i="11"/>
  <c r="M186" i="11"/>
  <c r="N186" i="11"/>
  <c r="L186" i="11"/>
  <c r="AG29" i="11"/>
  <c r="AG17" i="11"/>
  <c r="AG19" i="11"/>
  <c r="AI29" i="11"/>
  <c r="AI19" i="11"/>
  <c r="AI17" i="11"/>
  <c r="AJ29" i="11"/>
  <c r="AJ19" i="11"/>
  <c r="AJ17" i="11"/>
  <c r="AF29" i="11"/>
  <c r="AF17" i="11"/>
  <c r="AF19" i="11"/>
  <c r="AH29" i="11"/>
  <c r="AH17" i="11"/>
  <c r="AH19" i="11"/>
  <c r="AE29" i="11"/>
  <c r="AE17" i="11"/>
  <c r="AA29" i="11"/>
  <c r="AA17" i="11"/>
  <c r="AD29" i="11"/>
  <c r="AD17" i="11"/>
  <c r="AB29" i="11"/>
  <c r="AB17" i="11"/>
  <c r="AC29" i="11"/>
  <c r="AC17" i="11"/>
  <c r="O29" i="11"/>
  <c r="K29" i="11"/>
  <c r="P29" i="11"/>
  <c r="N29" i="11"/>
  <c r="L29" i="11"/>
  <c r="J29" i="11"/>
  <c r="H29" i="11"/>
  <c r="G29" i="11"/>
  <c r="M29" i="11"/>
  <c r="I29" i="11"/>
  <c r="Z17" i="11"/>
  <c r="Z29" i="11"/>
  <c r="X17" i="11"/>
  <c r="X29" i="11"/>
  <c r="V17" i="11"/>
  <c r="V29" i="11"/>
  <c r="Y17" i="11"/>
  <c r="Y29" i="11"/>
  <c r="W17" i="11"/>
  <c r="W29" i="11"/>
  <c r="AE19" i="11"/>
  <c r="AC19" i="11"/>
  <c r="AA19" i="11"/>
  <c r="AD19" i="11"/>
  <c r="AB19" i="11"/>
  <c r="Z19" i="11"/>
  <c r="X19" i="11"/>
  <c r="V19" i="11"/>
  <c r="T19" i="11"/>
  <c r="P19" i="11"/>
  <c r="N19" i="11"/>
  <c r="L19" i="11"/>
  <c r="J19" i="11"/>
  <c r="H19" i="11"/>
  <c r="Y19" i="11"/>
  <c r="W19" i="11"/>
  <c r="U19" i="11"/>
  <c r="S19" i="11"/>
  <c r="Q19" i="11"/>
  <c r="O19" i="11"/>
  <c r="M19" i="11"/>
  <c r="K19" i="11"/>
  <c r="I19" i="11"/>
  <c r="G19" i="11"/>
  <c r="R19" i="11"/>
  <c r="B105" i="12"/>
  <c r="F21" i="7" l="1"/>
  <c r="B55" i="12"/>
  <c r="B30" i="12"/>
  <c r="B5" i="12"/>
  <c r="AH86" i="11" l="1"/>
  <c r="AJ86" i="11"/>
  <c r="AH87" i="11"/>
  <c r="AJ87" i="11"/>
  <c r="AG86" i="11"/>
  <c r="AI86" i="11"/>
  <c r="AG87" i="11"/>
  <c r="AI87" i="11"/>
  <c r="AG92" i="11" l="1"/>
  <c r="AG46" i="11"/>
  <c r="AI43" i="11"/>
  <c r="AI85" i="11"/>
  <c r="F35" i="10" s="1"/>
  <c r="AH92" i="11"/>
  <c r="AH46" i="11"/>
  <c r="AJ43" i="11"/>
  <c r="AJ85" i="11"/>
  <c r="F36" i="10" s="1"/>
  <c r="AI92" i="11"/>
  <c r="AI46" i="11"/>
  <c r="AG43" i="11"/>
  <c r="AG85" i="11"/>
  <c r="F33" i="10" s="1"/>
  <c r="AJ92" i="11"/>
  <c r="AJ46" i="11"/>
  <c r="AH43" i="11"/>
  <c r="AH85" i="11"/>
  <c r="F34" i="10" s="1"/>
  <c r="U209" i="11" l="1"/>
  <c r="U47" i="11" s="1"/>
  <c r="G21" i="10" s="1"/>
  <c r="J224" i="11" l="1"/>
  <c r="N224" i="11" s="1"/>
  <c r="N214" i="11" l="1"/>
  <c r="N215" i="11" s="1"/>
  <c r="N216" i="11" s="1"/>
  <c r="N217" i="11" s="1"/>
  <c r="N218" i="11" s="1"/>
  <c r="N219" i="11" s="1"/>
  <c r="N220" i="11" s="1"/>
  <c r="N221" i="11" s="1"/>
  <c r="N222" i="11" s="1"/>
  <c r="N223" i="11" s="1"/>
  <c r="S213" i="11" l="1"/>
  <c r="R213" i="11"/>
  <c r="G72" i="11" s="1"/>
  <c r="G12" i="11" l="1"/>
  <c r="G13" i="11" l="1"/>
  <c r="H13" i="11" s="1"/>
  <c r="I13" i="11" s="1"/>
  <c r="J13" i="11" s="1"/>
  <c r="K13" i="11" s="1"/>
  <c r="L13" i="11" s="1"/>
  <c r="M13" i="11" s="1"/>
  <c r="N13" i="11" s="1"/>
  <c r="O13" i="11" s="1"/>
  <c r="P13" i="11" s="1"/>
  <c r="Q13" i="11" s="1"/>
  <c r="R13" i="11" s="1"/>
  <c r="S13" i="11" s="1"/>
  <c r="T13" i="11" s="1"/>
  <c r="U13" i="11" s="1"/>
  <c r="V13" i="11" s="1"/>
  <c r="W13" i="11" s="1"/>
  <c r="X13" i="11" s="1"/>
  <c r="Y13" i="11" s="1"/>
  <c r="Z13" i="11" s="1"/>
  <c r="AA13" i="11" s="1"/>
  <c r="AB13" i="11" s="1"/>
  <c r="AC13" i="11" s="1"/>
  <c r="AD13" i="11" s="1"/>
  <c r="AE13" i="11" s="1"/>
  <c r="AF13" i="11" s="1"/>
  <c r="AG13" i="11" s="1"/>
  <c r="AH13" i="11" s="1"/>
  <c r="AI13" i="11" s="1"/>
  <c r="AJ13" i="11" s="1"/>
  <c r="D7" i="9"/>
  <c r="H12" i="11"/>
  <c r="I12" i="11" s="1"/>
  <c r="G14" i="11" l="1"/>
  <c r="C7" i="10" s="1"/>
  <c r="H14" i="11"/>
  <c r="C8" i="10" s="1"/>
  <c r="I14" i="11"/>
  <c r="J12" i="11"/>
  <c r="G15" i="11" l="1"/>
  <c r="G34" i="11" s="1"/>
  <c r="G39" i="7" s="1"/>
  <c r="H15" i="11"/>
  <c r="H34" i="11" s="1"/>
  <c r="K12" i="11"/>
  <c r="J14" i="11"/>
  <c r="I15" i="11"/>
  <c r="I34" i="11" s="1"/>
  <c r="C9" i="10"/>
  <c r="L12" i="11" l="1"/>
  <c r="K14" i="11"/>
  <c r="J15" i="11"/>
  <c r="J34" i="11" s="1"/>
  <c r="C10" i="10"/>
  <c r="M12" i="11" l="1"/>
  <c r="L14" i="11"/>
  <c r="K15" i="11"/>
  <c r="K34" i="11" s="1"/>
  <c r="C11" i="10"/>
  <c r="L15" i="11" l="1"/>
  <c r="L34" i="11" s="1"/>
  <c r="C12" i="10"/>
  <c r="N12" i="11"/>
  <c r="M14" i="11"/>
  <c r="C13" i="10" l="1"/>
  <c r="M15" i="11"/>
  <c r="M34" i="11" s="1"/>
  <c r="O12" i="11"/>
  <c r="N14" i="11"/>
  <c r="C14" i="10" l="1"/>
  <c r="N15" i="11"/>
  <c r="N34" i="11" s="1"/>
  <c r="O14" i="11"/>
  <c r="P12" i="11"/>
  <c r="P14" i="11" l="1"/>
  <c r="Q12" i="11"/>
  <c r="C15" i="10"/>
  <c r="O15" i="11"/>
  <c r="O34" i="11" s="1"/>
  <c r="P15" i="11" l="1"/>
  <c r="P34" i="11" s="1"/>
  <c r="C16" i="10"/>
  <c r="Q14" i="11"/>
  <c r="R12" i="11"/>
  <c r="S12" i="11" l="1"/>
  <c r="R14" i="11"/>
  <c r="C17" i="10"/>
  <c r="Q15" i="11"/>
  <c r="Q34" i="11" s="1"/>
  <c r="C18" i="10" l="1"/>
  <c r="R15" i="11"/>
  <c r="R34" i="11" s="1"/>
  <c r="T12" i="11"/>
  <c r="S14" i="11"/>
  <c r="U12" i="11" l="1"/>
  <c r="T14" i="11"/>
  <c r="C19" i="10"/>
  <c r="S15" i="11"/>
  <c r="S34" i="11" s="1"/>
  <c r="T15" i="11" l="1"/>
  <c r="T34" i="11" s="1"/>
  <c r="C20" i="10"/>
  <c r="V12" i="11"/>
  <c r="U14" i="11"/>
  <c r="V14" i="11" l="1"/>
  <c r="W12" i="11"/>
  <c r="U15" i="11"/>
  <c r="U34" i="11" s="1"/>
  <c r="C21" i="10"/>
  <c r="V15" i="11" l="1"/>
  <c r="V34" i="11" s="1"/>
  <c r="C22" i="10"/>
  <c r="W14" i="11"/>
  <c r="X12" i="11"/>
  <c r="X14" i="11" l="1"/>
  <c r="Y12" i="11"/>
  <c r="W15" i="11"/>
  <c r="W34" i="11" s="1"/>
  <c r="C23" i="10"/>
  <c r="X15" i="11" l="1"/>
  <c r="X34" i="11" s="1"/>
  <c r="C24" i="10"/>
  <c r="Y14" i="11"/>
  <c r="Z12" i="11"/>
  <c r="Y15" i="11" l="1"/>
  <c r="Y34" i="11" s="1"/>
  <c r="C25" i="10"/>
  <c r="AA12" i="11"/>
  <c r="Z14" i="11"/>
  <c r="AA14" i="11" l="1"/>
  <c r="AB12" i="11"/>
  <c r="Z15" i="11"/>
  <c r="Z34" i="11" s="1"/>
  <c r="C26" i="10"/>
  <c r="AC12" i="11" l="1"/>
  <c r="AB14" i="11"/>
  <c r="C27" i="10"/>
  <c r="AA15" i="11"/>
  <c r="AA34" i="11" s="1"/>
  <c r="AB15" i="11" l="1"/>
  <c r="AB34" i="11" s="1"/>
  <c r="C28" i="10"/>
  <c r="AC14" i="11"/>
  <c r="AD12" i="11"/>
  <c r="AC15" i="11" l="1"/>
  <c r="AC34" i="11" s="1"/>
  <c r="C29" i="10"/>
  <c r="AE12" i="11"/>
  <c r="AD14" i="11"/>
  <c r="AE14" i="11" l="1"/>
  <c r="AE15" i="11" s="1"/>
  <c r="AE34" i="11" s="1"/>
  <c r="AF12" i="11"/>
  <c r="C31" i="10"/>
  <c r="AD15" i="11"/>
  <c r="AD34" i="11" s="1"/>
  <c r="C30" i="10"/>
  <c r="AF14" i="11" l="1"/>
  <c r="AG12" i="11"/>
  <c r="AH12" i="11" l="1"/>
  <c r="AG14" i="11"/>
  <c r="AF15" i="11"/>
  <c r="AF34" i="11" s="1"/>
  <c r="C32" i="10"/>
  <c r="AD200" i="11"/>
  <c r="AD209" i="11" s="1"/>
  <c r="AD47" i="11" s="1"/>
  <c r="G30" i="10" s="1"/>
  <c r="C33" i="10" l="1"/>
  <c r="AG15" i="11"/>
  <c r="AG34" i="11" s="1"/>
  <c r="AI12" i="11"/>
  <c r="AH14" i="11"/>
  <c r="AF86" i="11"/>
  <c r="AE86" i="11"/>
  <c r="AD86" i="11"/>
  <c r="AB87" i="11"/>
  <c r="AF87" i="11"/>
  <c r="AC86" i="11"/>
  <c r="AA87" i="11"/>
  <c r="AE87" i="11"/>
  <c r="AB86" i="11"/>
  <c r="AD87" i="11"/>
  <c r="AA86" i="11"/>
  <c r="AC87" i="11"/>
  <c r="AJ12" i="11" l="1"/>
  <c r="AJ14" i="11" s="1"/>
  <c r="AI14" i="11"/>
  <c r="C34" i="10"/>
  <c r="AH15" i="11"/>
  <c r="AH34" i="11" s="1"/>
  <c r="AA43" i="11"/>
  <c r="AA85" i="11"/>
  <c r="F27" i="10" s="1"/>
  <c r="AB85" i="11"/>
  <c r="F28" i="10" s="1"/>
  <c r="AB43" i="11"/>
  <c r="AA92" i="11"/>
  <c r="AA46" i="11"/>
  <c r="AF46" i="11"/>
  <c r="AF92" i="11"/>
  <c r="AD85" i="11"/>
  <c r="F30" i="10" s="1"/>
  <c r="AD43" i="11"/>
  <c r="AF85" i="11"/>
  <c r="F32" i="10" s="1"/>
  <c r="AF43" i="11"/>
  <c r="AC92" i="11"/>
  <c r="AC46" i="11"/>
  <c r="AD46" i="11"/>
  <c r="AD92" i="11"/>
  <c r="AE92" i="11"/>
  <c r="AE46" i="11"/>
  <c r="AC43" i="11"/>
  <c r="AC85" i="11"/>
  <c r="F29" i="10" s="1"/>
  <c r="AB92" i="11"/>
  <c r="AB46" i="11"/>
  <c r="AE85" i="11"/>
  <c r="F31" i="10" s="1"/>
  <c r="AE43" i="11"/>
  <c r="D14" i="9" l="1"/>
  <c r="C36" i="10"/>
  <c r="AJ15" i="11"/>
  <c r="AJ34" i="11" s="1"/>
  <c r="C35" i="10"/>
  <c r="AI15" i="11"/>
  <c r="AI34" i="11" s="1"/>
  <c r="H199" i="11"/>
  <c r="H209" i="11" s="1"/>
  <c r="H47" i="11" s="1"/>
  <c r="G8" i="10" s="1"/>
  <c r="AG199" i="11"/>
  <c r="AG209" i="11" s="1"/>
  <c r="AG47" i="11" s="1"/>
  <c r="AF199" i="11"/>
  <c r="AF209" i="11" s="1"/>
  <c r="AF47" i="11" s="1"/>
  <c r="G32" i="10" s="1"/>
  <c r="G33" i="10"/>
  <c r="P27" i="10" l="1"/>
  <c r="P32" i="10" l="1"/>
  <c r="P28" i="10"/>
  <c r="P29" i="10" l="1"/>
  <c r="P30" i="10" l="1"/>
  <c r="P31" i="10" l="1"/>
  <c r="G199" i="11" l="1"/>
  <c r="AE200" i="11" l="1"/>
  <c r="AE209" i="11" s="1"/>
  <c r="AE47" i="11" s="1"/>
  <c r="G31" i="10" s="1"/>
  <c r="V86" i="11" l="1"/>
  <c r="V43" i="11" s="1"/>
  <c r="V87" i="11"/>
  <c r="V92" i="11" s="1"/>
  <c r="X86" i="11"/>
  <c r="X43" i="11" s="1"/>
  <c r="Y87" i="11"/>
  <c r="Y92" i="11" s="1"/>
  <c r="W87" i="11"/>
  <c r="W92" i="11" s="1"/>
  <c r="W86" i="11"/>
  <c r="Z87" i="11"/>
  <c r="X87" i="11"/>
  <c r="Y86" i="11"/>
  <c r="V85" i="11" l="1"/>
  <c r="F22" i="10" s="1"/>
  <c r="V46" i="11"/>
  <c r="Y46" i="11"/>
  <c r="W46" i="11"/>
  <c r="X46" i="11"/>
  <c r="X92" i="11"/>
  <c r="X85" i="11"/>
  <c r="F24" i="10" s="1"/>
  <c r="Z92" i="11"/>
  <c r="Z46" i="11"/>
  <c r="Y43" i="11"/>
  <c r="Y85" i="11"/>
  <c r="F25" i="10" s="1"/>
  <c r="W43" i="11"/>
  <c r="W85" i="11"/>
  <c r="F23" i="10" s="1"/>
  <c r="Y199" i="11" l="1"/>
  <c r="Y209" i="11" s="1"/>
  <c r="Y47" i="11" s="1"/>
  <c r="G25" i="10" s="1"/>
  <c r="AA199" i="11"/>
  <c r="AA209" i="11" s="1"/>
  <c r="AA47" i="11" s="1"/>
  <c r="G27" i="10" s="1"/>
  <c r="P22" i="10" l="1"/>
  <c r="P23" i="10" l="1"/>
  <c r="P24" i="10" l="1"/>
  <c r="P26" i="10" l="1"/>
  <c r="P25" i="10"/>
  <c r="Z86" i="11"/>
  <c r="Z43" i="11" s="1"/>
  <c r="Z85" i="11" l="1"/>
  <c r="F26" i="10" s="1"/>
  <c r="I183" i="11" l="1"/>
  <c r="I186" i="11" s="1"/>
  <c r="K183" i="11"/>
  <c r="K186" i="11" s="1"/>
  <c r="H183" i="11"/>
  <c r="H186" i="11" s="1"/>
  <c r="J183" i="11"/>
  <c r="J186" i="11" s="1"/>
  <c r="AI30" i="11" l="1"/>
  <c r="AI35" i="11" s="1"/>
  <c r="AH30" i="11"/>
  <c r="AH35" i="11" s="1"/>
  <c r="AG30" i="11"/>
  <c r="AG35" i="11" s="1"/>
  <c r="AE30" i="11"/>
  <c r="AE35" i="11" s="1"/>
  <c r="AC30" i="11"/>
  <c r="AC35" i="11" s="1"/>
  <c r="AF30" i="11"/>
  <c r="AF35" i="11" s="1"/>
  <c r="AJ30" i="11"/>
  <c r="AJ35" i="11" s="1"/>
  <c r="AD30" i="11"/>
  <c r="AD35" i="11" s="1"/>
  <c r="AB30" i="11"/>
  <c r="AB35" i="11" s="1"/>
  <c r="AA30" i="11"/>
  <c r="AA35" i="11" s="1"/>
  <c r="AA36" i="11" l="1"/>
  <c r="AA37" i="11"/>
  <c r="E27" i="10"/>
  <c r="S27" i="10" s="1"/>
  <c r="E30" i="10"/>
  <c r="S30" i="10" s="1"/>
  <c r="AD37" i="11"/>
  <c r="AD36" i="11"/>
  <c r="AF37" i="11"/>
  <c r="AF36" i="11"/>
  <c r="E32" i="10"/>
  <c r="S32" i="10" s="1"/>
  <c r="AE36" i="11"/>
  <c r="AE37" i="11"/>
  <c r="E31" i="10"/>
  <c r="S31" i="10" s="1"/>
  <c r="AH36" i="11"/>
  <c r="AH37" i="11"/>
  <c r="E34" i="10"/>
  <c r="S34" i="10" s="1"/>
  <c r="E28" i="10"/>
  <c r="S28" i="10" s="1"/>
  <c r="AB36" i="11"/>
  <c r="AB37" i="11"/>
  <c r="AJ37" i="11"/>
  <c r="AJ36" i="11"/>
  <c r="E36" i="10"/>
  <c r="AC36" i="11"/>
  <c r="AC37" i="11"/>
  <c r="E29" i="10"/>
  <c r="S29" i="10" s="1"/>
  <c r="AG36" i="11"/>
  <c r="AG37" i="11"/>
  <c r="E33" i="10"/>
  <c r="S33" i="10" s="1"/>
  <c r="E35" i="10"/>
  <c r="S35" i="10" s="1"/>
  <c r="AI36" i="11"/>
  <c r="AI37" i="11"/>
  <c r="G36" i="10" l="1"/>
  <c r="S36" i="10" s="1"/>
  <c r="G200" i="11"/>
  <c r="G209" i="11" s="1"/>
  <c r="G47" i="11" s="1"/>
  <c r="G7" i="10" s="1"/>
  <c r="AC142" i="11" l="1"/>
  <c r="AC57" i="11" s="1"/>
  <c r="AC144" i="11" l="1"/>
  <c r="AA206" i="11" l="1"/>
  <c r="AB198" i="11" s="1"/>
  <c r="AB206" i="11" l="1"/>
  <c r="AC198" i="11" s="1"/>
  <c r="D27" i="10" l="1"/>
  <c r="AB208" i="11"/>
  <c r="AB22" i="11" s="1"/>
  <c r="AB23" i="11" s="1"/>
  <c r="AC206" i="11"/>
  <c r="AD198" i="11" s="1"/>
  <c r="D28" i="10" l="1"/>
  <c r="AB39" i="11"/>
  <c r="AB44" i="11" s="1"/>
  <c r="AC208" i="11"/>
  <c r="AC22" i="11" s="1"/>
  <c r="AC23" i="11" s="1"/>
  <c r="AD206" i="11"/>
  <c r="AE198" i="11" s="1"/>
  <c r="H27" i="10"/>
  <c r="D29" i="10" l="1"/>
  <c r="AC39" i="11"/>
  <c r="AC44" i="11" s="1"/>
  <c r="H28" i="10"/>
  <c r="AD208" i="11"/>
  <c r="AD22" i="11" s="1"/>
  <c r="AD23" i="11" s="1"/>
  <c r="AE206" i="11"/>
  <c r="AF198" i="11" s="1"/>
  <c r="AB49" i="11"/>
  <c r="AB53" i="11" s="1"/>
  <c r="AB54" i="11" s="1"/>
  <c r="J27" i="10" l="1"/>
  <c r="I27" i="10"/>
  <c r="AF206" i="11"/>
  <c r="AG198" i="11" s="1"/>
  <c r="H29" i="10"/>
  <c r="AD39" i="11"/>
  <c r="AD44" i="11" s="1"/>
  <c r="D30" i="10"/>
  <c r="AC49" i="11"/>
  <c r="AC53" i="11" s="1"/>
  <c r="AC54" i="11" s="1"/>
  <c r="AC58" i="11"/>
  <c r="AC149" i="11" s="1"/>
  <c r="AE208" i="11"/>
  <c r="AE22" i="11" s="1"/>
  <c r="AE23" i="11" s="1"/>
  <c r="AD49" i="11" l="1"/>
  <c r="AD53" i="11" s="1"/>
  <c r="AD54" i="11" s="1"/>
  <c r="AE39" i="11"/>
  <c r="AE44" i="11" s="1"/>
  <c r="D31" i="10"/>
  <c r="AC161" i="11"/>
  <c r="AC153" i="11"/>
  <c r="H30" i="10"/>
  <c r="AF208" i="11"/>
  <c r="AF22" i="11" s="1"/>
  <c r="AF23" i="11" s="1"/>
  <c r="AG206" i="11"/>
  <c r="AH198" i="11" s="1"/>
  <c r="H31" i="10" l="1"/>
  <c r="AH206" i="11"/>
  <c r="AI198" i="11" s="1"/>
  <c r="K27" i="10"/>
  <c r="AF39" i="11"/>
  <c r="AF44" i="11" s="1"/>
  <c r="D32" i="10"/>
  <c r="AE49" i="11"/>
  <c r="AE53" i="11" s="1"/>
  <c r="AE54" i="11" s="1"/>
  <c r="AG208" i="11"/>
  <c r="AG22" i="11" s="1"/>
  <c r="AG23" i="11" s="1"/>
  <c r="AG39" i="11" l="1"/>
  <c r="AG44" i="11" s="1"/>
  <c r="D33" i="10"/>
  <c r="H33" i="10" s="1"/>
  <c r="H32" i="10"/>
  <c r="R27" i="10"/>
  <c r="M27" i="10"/>
  <c r="AH208" i="11"/>
  <c r="AH22" i="11" s="1"/>
  <c r="AH23" i="11" s="1"/>
  <c r="AF49" i="11"/>
  <c r="AF53" i="11" s="1"/>
  <c r="AF54" i="11" s="1"/>
  <c r="AI206" i="11"/>
  <c r="AJ198" i="11" s="1"/>
  <c r="AJ206" i="11" s="1"/>
  <c r="AJ208" i="11" s="1"/>
  <c r="AJ22" i="11" s="1"/>
  <c r="AJ23" i="11" s="1"/>
  <c r="AJ39" i="11" l="1"/>
  <c r="AJ44" i="11" s="1"/>
  <c r="D36" i="10"/>
  <c r="AG49" i="11"/>
  <c r="AG53" i="11" s="1"/>
  <c r="AG54" i="11" s="1"/>
  <c r="AI208" i="11"/>
  <c r="AI22" i="11" s="1"/>
  <c r="AI23" i="11" s="1"/>
  <c r="D34" i="10"/>
  <c r="AH39" i="11"/>
  <c r="AH44" i="11" s="1"/>
  <c r="AH49" i="11" l="1"/>
  <c r="AH53" i="11" s="1"/>
  <c r="AH54" i="11" s="1"/>
  <c r="AI39" i="11"/>
  <c r="AI44" i="11" s="1"/>
  <c r="D35" i="10"/>
  <c r="H36" i="10"/>
  <c r="H34" i="10"/>
  <c r="AI49" i="11" l="1"/>
  <c r="AI53" i="11" s="1"/>
  <c r="AI54" i="11" s="1"/>
  <c r="H35" i="10"/>
  <c r="I28" i="10" l="1"/>
  <c r="J28" i="10"/>
  <c r="AC162" i="11" l="1"/>
  <c r="AC154" i="11"/>
  <c r="AC157" i="11" s="1"/>
  <c r="AC60" i="11" s="1"/>
  <c r="K28" i="10"/>
  <c r="AC165" i="11" l="1"/>
  <c r="AC61" i="11" s="1"/>
  <c r="R28" i="10"/>
  <c r="M28" i="10"/>
  <c r="I29" i="10"/>
  <c r="AC64" i="11" l="1"/>
  <c r="AC189" i="11" s="1"/>
  <c r="J29" i="10"/>
  <c r="AC193" i="11" l="1"/>
  <c r="AC66" i="11" s="1"/>
  <c r="AC192" i="11"/>
  <c r="L29" i="10"/>
  <c r="AC63" i="11"/>
  <c r="I30" i="10"/>
  <c r="J30" i="10"/>
  <c r="K30" i="10" l="1"/>
  <c r="AC175" i="11"/>
  <c r="K29" i="10"/>
  <c r="AC178" i="11" l="1"/>
  <c r="AC179" i="11"/>
  <c r="AC65" i="11" s="1"/>
  <c r="AC67" i="11" s="1"/>
  <c r="R29" i="10"/>
  <c r="M29" i="10"/>
  <c r="R30" i="10"/>
  <c r="M30" i="10"/>
  <c r="I31" i="10"/>
  <c r="J31" i="10" l="1"/>
  <c r="I32" i="10" l="1"/>
  <c r="L31" i="10"/>
  <c r="J32" i="10"/>
  <c r="K31" i="10" l="1"/>
  <c r="K32" i="10"/>
  <c r="I33" i="10" l="1"/>
  <c r="R31" i="10"/>
  <c r="M31" i="10"/>
  <c r="R32" i="10"/>
  <c r="M32" i="10"/>
  <c r="J33" i="10" l="1"/>
  <c r="J34" i="10" l="1"/>
  <c r="L33" i="10"/>
  <c r="I34" i="10"/>
  <c r="K33" i="10" l="1"/>
  <c r="K34" i="10"/>
  <c r="R34" i="10" l="1"/>
  <c r="M34" i="10"/>
  <c r="I35" i="10"/>
  <c r="R33" i="10"/>
  <c r="M33" i="10"/>
  <c r="J35" i="10" l="1"/>
  <c r="J36" i="10" l="1"/>
  <c r="L35" i="10"/>
  <c r="I36" i="10"/>
  <c r="K35" i="10" l="1"/>
  <c r="K36" i="10"/>
  <c r="R35" i="10" l="1"/>
  <c r="M35" i="10"/>
  <c r="R36" i="10"/>
  <c r="M36" i="10"/>
  <c r="AI142" i="11" l="1"/>
  <c r="AI57" i="11" s="1"/>
  <c r="AI58" i="11" s="1"/>
  <c r="AJ200" i="11"/>
  <c r="AJ209" i="11" s="1"/>
  <c r="AJ47" i="11" s="1"/>
  <c r="AJ49" i="11" s="1"/>
  <c r="AJ53" i="11" s="1"/>
  <c r="AJ54" i="11" s="1"/>
  <c r="AJ142" i="11"/>
  <c r="AJ57" i="11" s="1"/>
  <c r="AJ58" i="11" s="1"/>
  <c r="L36" i="10"/>
  <c r="AG142" i="11"/>
  <c r="AG57" i="11" s="1"/>
  <c r="AG58" i="11" s="1"/>
  <c r="AH142" i="11"/>
  <c r="AH57" i="11" s="1"/>
  <c r="AH58" i="11" s="1"/>
  <c r="L34" i="10"/>
  <c r="AE142" i="11"/>
  <c r="AE57" i="11" s="1"/>
  <c r="AE58" i="11" s="1"/>
  <c r="AF142" i="11"/>
  <c r="AF57" i="11" s="1"/>
  <c r="AF58" i="11" s="1"/>
  <c r="L32" i="10"/>
  <c r="AD142" i="11"/>
  <c r="AD57" i="11" s="1"/>
  <c r="AD58" i="11" s="1"/>
  <c r="L30" i="10"/>
  <c r="AB142" i="11"/>
  <c r="AB57" i="11" s="1"/>
  <c r="AB58" i="11" s="1"/>
  <c r="L28" i="10"/>
  <c r="AA142" i="11"/>
  <c r="AA57" i="11" s="1"/>
  <c r="L27" i="10"/>
  <c r="O36" i="10"/>
  <c r="O35" i="10"/>
  <c r="O33" i="10"/>
  <c r="O34" i="10"/>
  <c r="O32" i="10"/>
  <c r="O31" i="10"/>
  <c r="O29" i="10"/>
  <c r="O30" i="10"/>
  <c r="O28" i="10"/>
  <c r="O27" i="10"/>
  <c r="AE144" i="11" l="1"/>
  <c r="AA144" i="11"/>
  <c r="AH144" i="11"/>
  <c r="AD144" i="11"/>
  <c r="AG144" i="11"/>
  <c r="AJ144" i="11"/>
  <c r="AI144" i="11"/>
  <c r="AF144" i="11"/>
  <c r="AB144" i="11"/>
  <c r="AF149" i="11"/>
  <c r="AJ149" i="11"/>
  <c r="AI149" i="11"/>
  <c r="AB149" i="11"/>
  <c r="AD149" i="11"/>
  <c r="AE149" i="11"/>
  <c r="AH149" i="11"/>
  <c r="AG149" i="11"/>
  <c r="AH161" i="11" l="1"/>
  <c r="AH154" i="11"/>
  <c r="AH162" i="11"/>
  <c r="AH153" i="11"/>
  <c r="AB154" i="11"/>
  <c r="AB161" i="11"/>
  <c r="AB153" i="11"/>
  <c r="AB162" i="11"/>
  <c r="AI161" i="11"/>
  <c r="AI153" i="11"/>
  <c r="AI162" i="11"/>
  <c r="AI154" i="11"/>
  <c r="AF154" i="11"/>
  <c r="AF161" i="11"/>
  <c r="AF153" i="11"/>
  <c r="AF162" i="11"/>
  <c r="AG162" i="11"/>
  <c r="AG154" i="11"/>
  <c r="AG161" i="11"/>
  <c r="AG153" i="11"/>
  <c r="AE162" i="11"/>
  <c r="AE154" i="11"/>
  <c r="AE161" i="11"/>
  <c r="AE153" i="11"/>
  <c r="AD162" i="11"/>
  <c r="AD153" i="11"/>
  <c r="AD161" i="11"/>
  <c r="AD154" i="11"/>
  <c r="AJ162" i="11"/>
  <c r="AJ153" i="11"/>
  <c r="AJ161" i="11"/>
  <c r="AJ154" i="11"/>
  <c r="AJ165" i="11" l="1"/>
  <c r="AJ61" i="11" s="1"/>
  <c r="AJ64" i="11" s="1"/>
  <c r="AJ189" i="11" s="1"/>
  <c r="AJ192" i="11" s="1"/>
  <c r="AB157" i="11"/>
  <c r="AB60" i="11" s="1"/>
  <c r="AJ193" i="11"/>
  <c r="AJ66" i="11" s="1"/>
  <c r="AE157" i="11"/>
  <c r="AE60" i="11" s="1"/>
  <c r="AG157" i="11"/>
  <c r="AG60" i="11" s="1"/>
  <c r="AD165" i="11"/>
  <c r="AD61" i="11" s="1"/>
  <c r="AD64" i="11" s="1"/>
  <c r="AD189" i="11" s="1"/>
  <c r="AH165" i="11"/>
  <c r="AH61" i="11" s="1"/>
  <c r="AH64" i="11" s="1"/>
  <c r="AH189" i="11" s="1"/>
  <c r="AF157" i="11"/>
  <c r="AF60" i="11" s="1"/>
  <c r="AI165" i="11"/>
  <c r="AI61" i="11" s="1"/>
  <c r="AI64" i="11" s="1"/>
  <c r="AI189" i="11" s="1"/>
  <c r="AE165" i="11"/>
  <c r="AE61" i="11" s="1"/>
  <c r="AE64" i="11" s="1"/>
  <c r="AE189" i="11" s="1"/>
  <c r="AG165" i="11"/>
  <c r="AG61" i="11" s="1"/>
  <c r="AG64" i="11" s="1"/>
  <c r="AG189" i="11" s="1"/>
  <c r="AH157" i="11"/>
  <c r="AH60" i="11" s="1"/>
  <c r="AD157" i="11"/>
  <c r="AD60" i="11" s="1"/>
  <c r="AI157" i="11"/>
  <c r="AI60" i="11" s="1"/>
  <c r="AJ157" i="11"/>
  <c r="AJ60" i="11" s="1"/>
  <c r="AB165" i="11"/>
  <c r="AB61" i="11" s="1"/>
  <c r="AB64" i="11" s="1"/>
  <c r="AB189" i="11" s="1"/>
  <c r="AF165" i="11"/>
  <c r="AF61" i="11" s="1"/>
  <c r="AF64" i="11" s="1"/>
  <c r="AF189" i="11" s="1"/>
  <c r="AJ63" i="11" l="1"/>
  <c r="AJ175" i="11" s="1"/>
  <c r="AI63" i="11"/>
  <c r="AI175" i="11" s="1"/>
  <c r="AI178" i="11" s="1"/>
  <c r="AH63" i="11"/>
  <c r="AH175" i="11" s="1"/>
  <c r="AH178" i="11" s="1"/>
  <c r="AF63" i="11"/>
  <c r="AF175" i="11" s="1"/>
  <c r="AF178" i="11" s="1"/>
  <c r="AB193" i="11"/>
  <c r="AB66" i="11" s="1"/>
  <c r="AB192" i="11"/>
  <c r="AE193" i="11"/>
  <c r="AE66" i="11" s="1"/>
  <c r="AE192" i="11"/>
  <c r="AD192" i="11"/>
  <c r="AD193" i="11"/>
  <c r="AD66" i="11" s="1"/>
  <c r="AF193" i="11"/>
  <c r="AF66" i="11" s="1"/>
  <c r="AF192" i="11"/>
  <c r="AG192" i="11"/>
  <c r="AG193" i="11"/>
  <c r="AG66" i="11" s="1"/>
  <c r="AI193" i="11"/>
  <c r="AI66" i="11" s="1"/>
  <c r="AI192" i="11"/>
  <c r="AH193" i="11"/>
  <c r="AH66" i="11" s="1"/>
  <c r="AH192" i="11"/>
  <c r="AB63" i="11"/>
  <c r="AB175" i="11" s="1"/>
  <c r="AB179" i="11" s="1"/>
  <c r="AB65" i="11" s="1"/>
  <c r="AD63" i="11"/>
  <c r="AD175" i="11" s="1"/>
  <c r="AD178" i="11" s="1"/>
  <c r="AG63" i="11"/>
  <c r="AG175" i="11" s="1"/>
  <c r="AG179" i="11" s="1"/>
  <c r="AG65" i="11" s="1"/>
  <c r="AE63" i="11"/>
  <c r="AE175" i="11" s="1"/>
  <c r="AE179" i="11" s="1"/>
  <c r="AE65" i="11" s="1"/>
  <c r="AF179" i="11"/>
  <c r="AF65" i="11" s="1"/>
  <c r="AI179" i="11"/>
  <c r="AI65" i="11" s="1"/>
  <c r="AJ179" i="11"/>
  <c r="AJ65" i="11" s="1"/>
  <c r="AJ67" i="11" s="1"/>
  <c r="AJ178" i="11"/>
  <c r="I170" i="11"/>
  <c r="I172" i="11" s="1"/>
  <c r="K170" i="11"/>
  <c r="K172" i="11" s="1"/>
  <c r="M170" i="11"/>
  <c r="M172" i="11" s="1"/>
  <c r="O170" i="11"/>
  <c r="O172" i="11" s="1"/>
  <c r="G170" i="11"/>
  <c r="H170" i="11"/>
  <c r="H172" i="11" s="1"/>
  <c r="J170" i="11"/>
  <c r="J172" i="11" s="1"/>
  <c r="L170" i="11"/>
  <c r="L172" i="11" s="1"/>
  <c r="N170" i="11"/>
  <c r="N172" i="11" s="1"/>
  <c r="P170" i="11"/>
  <c r="P172" i="11" s="1"/>
  <c r="AB67" i="11" l="1"/>
  <c r="AD179" i="11"/>
  <c r="AD65" i="11" s="1"/>
  <c r="AD67" i="11" s="1"/>
  <c r="AE178" i="11"/>
  <c r="AG67" i="11"/>
  <c r="AH179" i="11"/>
  <c r="AH65" i="11" s="1"/>
  <c r="AH67" i="11" s="1"/>
  <c r="AG178" i="11"/>
  <c r="AB178" i="11"/>
  <c r="AI67" i="11"/>
  <c r="AF67" i="11"/>
  <c r="AE67" i="11"/>
  <c r="G169" i="11"/>
  <c r="G172" i="11" s="1"/>
  <c r="G21" i="7" l="1"/>
  <c r="G189" i="11" l="1"/>
  <c r="G192" i="11" l="1"/>
  <c r="G193" i="11"/>
  <c r="H192" i="11" l="1"/>
  <c r="G194" i="11"/>
  <c r="H191" i="11" s="1"/>
  <c r="G175" i="11"/>
  <c r="G178" i="11" l="1"/>
  <c r="G179" i="11" s="1"/>
  <c r="G180" i="11" l="1"/>
  <c r="H179" i="11" s="1"/>
  <c r="H65" i="11" s="1"/>
  <c r="I189" i="11"/>
  <c r="H177" i="11"/>
  <c r="I193" i="11" l="1"/>
  <c r="I66" i="11" s="1"/>
  <c r="I192" i="11"/>
  <c r="J189" i="11" l="1"/>
  <c r="I177" i="11"/>
  <c r="I179" i="11"/>
  <c r="I65" i="11" s="1"/>
  <c r="J192" i="11" l="1"/>
  <c r="J193" i="11"/>
  <c r="J66" i="11" s="1"/>
  <c r="J175" i="11"/>
  <c r="K193" i="11"/>
  <c r="K66" i="11" s="1"/>
  <c r="K192" i="11"/>
  <c r="J179" i="11" l="1"/>
  <c r="J65" i="11" s="1"/>
  <c r="J178" i="11"/>
  <c r="K179" i="11"/>
  <c r="K65" i="11" s="1"/>
  <c r="K178" i="11"/>
  <c r="L189" i="11" l="1"/>
  <c r="L179" i="11" l="1"/>
  <c r="L65" i="11" s="1"/>
  <c r="L193" i="11"/>
  <c r="L66" i="11" s="1"/>
  <c r="L192" i="11"/>
  <c r="M192" i="11"/>
  <c r="M193" i="11"/>
  <c r="M66" i="11" s="1"/>
  <c r="M175" i="11"/>
  <c r="M178" i="11" l="1"/>
  <c r="M179" i="11"/>
  <c r="M65" i="11" s="1"/>
  <c r="N193" i="11" l="1"/>
  <c r="N66" i="11" s="1"/>
  <c r="N192" i="11"/>
  <c r="N179" i="11" l="1"/>
  <c r="N65" i="11" s="1"/>
  <c r="N178" i="11"/>
  <c r="O189" i="11" l="1"/>
  <c r="O178" i="11" l="1"/>
  <c r="O193" i="11"/>
  <c r="O66" i="11" s="1"/>
  <c r="O192" i="11"/>
  <c r="P193" i="11"/>
  <c r="P66" i="11" s="1"/>
  <c r="P192" i="11"/>
  <c r="Q192" i="11" l="1"/>
  <c r="Q193" i="11"/>
  <c r="Q66" i="11" s="1"/>
  <c r="P179" i="11"/>
  <c r="P65" i="11" s="1"/>
  <c r="P178" i="11"/>
  <c r="Q178" i="11" l="1"/>
  <c r="R192" i="11" l="1"/>
  <c r="R193" i="11"/>
  <c r="R66" i="11" s="1"/>
  <c r="Q179" i="11"/>
  <c r="Q65" i="11" s="1"/>
  <c r="R179" i="11" l="1"/>
  <c r="R65" i="11" s="1"/>
  <c r="R178" i="11"/>
  <c r="S179" i="11" l="1"/>
  <c r="S65" i="11" s="1"/>
  <c r="S189" i="11" l="1"/>
  <c r="T178" i="11"/>
  <c r="T179" i="11"/>
  <c r="T65" i="11" s="1"/>
  <c r="S192" i="11" l="1"/>
  <c r="S193" i="11"/>
  <c r="S66" i="11" s="1"/>
  <c r="U175" i="11"/>
  <c r="T189" i="11" l="1"/>
  <c r="U179" i="11"/>
  <c r="U65" i="11" s="1"/>
  <c r="U178" i="11"/>
  <c r="T192" i="11" l="1"/>
  <c r="T193" i="11"/>
  <c r="T66" i="11" s="1"/>
  <c r="T175" i="11"/>
  <c r="V175" i="11"/>
  <c r="U189" i="11" l="1"/>
  <c r="V178" i="11"/>
  <c r="V179" i="11"/>
  <c r="V65" i="11" s="1"/>
  <c r="W175" i="11"/>
  <c r="U192" i="11" l="1"/>
  <c r="U193" i="11"/>
  <c r="U66" i="11" s="1"/>
  <c r="W178" i="11"/>
  <c r="W189" i="11" l="1"/>
  <c r="W192" i="11" s="1"/>
  <c r="W179" i="11"/>
  <c r="W65" i="11" s="1"/>
  <c r="V191" i="11" l="1"/>
  <c r="V193" i="11"/>
  <c r="V66" i="11" s="1"/>
  <c r="X178" i="11"/>
  <c r="X179" i="11" l="1"/>
  <c r="X65" i="11" s="1"/>
  <c r="Y175" i="11"/>
  <c r="X189" i="11" l="1"/>
  <c r="X192" i="11" s="1"/>
  <c r="W193" i="11"/>
  <c r="W66" i="11" s="1"/>
  <c r="W191" i="11"/>
  <c r="Y178" i="11"/>
  <c r="Y179" i="11"/>
  <c r="Y65" i="11" s="1"/>
  <c r="W194" i="11" l="1"/>
  <c r="X191" i="11" s="1"/>
  <c r="Y189" i="11" l="1"/>
  <c r="Y192" i="11" s="1"/>
  <c r="X193" i="11"/>
  <c r="X66" i="11" s="1"/>
  <c r="AA192" i="11"/>
  <c r="Z189" i="11"/>
  <c r="X194" i="11" l="1"/>
  <c r="Z179" i="11"/>
  <c r="Z65" i="11" s="1"/>
  <c r="Z192" i="11"/>
  <c r="Y191" i="11" l="1"/>
  <c r="Y193" i="11"/>
  <c r="Y66" i="11" s="1"/>
  <c r="AA177" i="11"/>
  <c r="AA179" i="11"/>
  <c r="AA65" i="11" s="1"/>
  <c r="Y194" i="11" l="1"/>
  <c r="Z191" i="11" l="1"/>
  <c r="Z193" i="11"/>
  <c r="Z66" i="11" s="1"/>
  <c r="Z194" i="11" l="1"/>
  <c r="AA193" i="11" l="1"/>
  <c r="AA66" i="11" s="1"/>
  <c r="AA191" i="11"/>
  <c r="AA194" i="11" l="1"/>
  <c r="AB191" i="11" s="1"/>
  <c r="AB194" i="11" s="1"/>
  <c r="AC191" i="11" s="1"/>
  <c r="AC194" i="11" s="1"/>
  <c r="AD191" i="11" s="1"/>
  <c r="AD194" i="11" s="1"/>
  <c r="AE191" i="11" s="1"/>
  <c r="AE194" i="11" s="1"/>
  <c r="AF191" i="11" s="1"/>
  <c r="AF194" i="11" s="1"/>
  <c r="AG191" i="11" s="1"/>
  <c r="AG194" i="11" s="1"/>
  <c r="AH191" i="11" s="1"/>
  <c r="AH194" i="11" s="1"/>
  <c r="AI191" i="11" s="1"/>
  <c r="AI194" i="11" s="1"/>
  <c r="AJ191" i="11" s="1"/>
  <c r="AJ194" i="11" s="1"/>
  <c r="H66" i="11"/>
  <c r="O65" i="11"/>
  <c r="AA178" i="11"/>
  <c r="AA180" i="11" s="1"/>
  <c r="AB177" i="11"/>
  <c r="AB180" i="11" s="1"/>
  <c r="AC177" i="11"/>
  <c r="AC180" i="11" s="1"/>
  <c r="AD177" i="11"/>
  <c r="AD180" i="11" s="1"/>
  <c r="AE177" i="11"/>
  <c r="AE180" i="11" s="1"/>
  <c r="AF177" i="11"/>
  <c r="AF180" i="11" s="1"/>
  <c r="AG177" i="11"/>
  <c r="AG180" i="11" s="1"/>
  <c r="AH177" i="11"/>
  <c r="AH180" i="11" s="1"/>
  <c r="AI177" i="11"/>
  <c r="AI180" i="11" s="1"/>
  <c r="AJ177" i="11"/>
  <c r="AJ180" i="11" s="1"/>
  <c r="Z177" i="11"/>
  <c r="Z178" i="11"/>
  <c r="Z175" i="11"/>
  <c r="AA175" i="11"/>
  <c r="Y177" i="11"/>
  <c r="Y180" i="11" s="1"/>
  <c r="X175" i="11"/>
  <c r="X177" i="11"/>
  <c r="X180" i="11" s="1"/>
  <c r="V192" i="11"/>
  <c r="V194" i="11" s="1"/>
  <c r="V189" i="11"/>
  <c r="W177" i="11"/>
  <c r="W180" i="11" s="1"/>
  <c r="U191" i="11"/>
  <c r="U194" i="11" s="1"/>
  <c r="V177" i="11"/>
  <c r="V180" i="11" s="1"/>
  <c r="T191" i="11"/>
  <c r="T194" i="11" s="1"/>
  <c r="U177" i="11"/>
  <c r="U180" i="11" s="1"/>
  <c r="S191" i="11"/>
  <c r="S194" i="11" s="1"/>
  <c r="T177" i="11"/>
  <c r="T180" i="11" s="1"/>
  <c r="S177" i="11"/>
  <c r="S178" i="11"/>
  <c r="S175" i="11"/>
  <c r="R177" i="11"/>
  <c r="R180" i="11" s="1"/>
  <c r="R175" i="11"/>
  <c r="R189" i="11"/>
  <c r="R191" i="11"/>
  <c r="R194" i="11" s="1"/>
  <c r="Q175" i="11"/>
  <c r="Q177" i="11"/>
  <c r="Q180" i="11" s="1"/>
  <c r="P175" i="11"/>
  <c r="Q189" i="11"/>
  <c r="P177" i="11"/>
  <c r="P180" i="11" s="1"/>
  <c r="Q191" i="11"/>
  <c r="Q194" i="11" s="1"/>
  <c r="O191" i="11"/>
  <c r="O194" i="11" s="1"/>
  <c r="P191" i="11"/>
  <c r="P194" i="11" s="1"/>
  <c r="P189" i="11"/>
  <c r="O177" i="11"/>
  <c r="O179" i="11"/>
  <c r="O175" i="11"/>
  <c r="N175" i="11"/>
  <c r="N177" i="11"/>
  <c r="N180" i="11" s="1"/>
  <c r="AA189" i="11"/>
  <c r="N189" i="11"/>
  <c r="N191" i="11"/>
  <c r="N194" i="11" s="1"/>
  <c r="M177" i="11"/>
  <c r="M180" i="11" s="1"/>
  <c r="M189" i="11"/>
  <c r="L191" i="11"/>
  <c r="L194" i="11" s="1"/>
  <c r="M191" i="11"/>
  <c r="M194" i="11" s="1"/>
  <c r="L177" i="11"/>
  <c r="L178" i="11"/>
  <c r="L175" i="11"/>
  <c r="K175" i="11"/>
  <c r="J177" i="11"/>
  <c r="J180" i="11" s="1"/>
  <c r="K177" i="11"/>
  <c r="K180" i="11" s="1"/>
  <c r="K189" i="11"/>
  <c r="J191" i="11"/>
  <c r="J194" i="11" s="1"/>
  <c r="K191" i="11"/>
  <c r="K194" i="11" s="1"/>
  <c r="I175" i="11"/>
  <c r="I178" i="11"/>
  <c r="I180" i="11" s="1"/>
  <c r="I191" i="11"/>
  <c r="I194" i="11" s="1"/>
  <c r="H178" i="11"/>
  <c r="H180" i="11" s="1"/>
  <c r="H175" i="11"/>
  <c r="H193" i="11"/>
  <c r="H194" i="11" s="1"/>
  <c r="H189" i="11"/>
  <c r="L180" i="11" l="1"/>
  <c r="S180" i="11"/>
  <c r="O180" i="11"/>
  <c r="Z180" i="11"/>
  <c r="G22" i="7" l="1"/>
  <c r="C102" i="11" l="1"/>
  <c r="C105" i="11"/>
  <c r="C101" i="11"/>
  <c r="C108" i="11"/>
  <c r="C103" i="11"/>
  <c r="C99" i="11"/>
  <c r="C106" i="11"/>
  <c r="G33" i="7"/>
  <c r="F80" i="11"/>
  <c r="F82" i="11" s="1"/>
  <c r="F52" i="11" s="1"/>
  <c r="C104" i="11"/>
  <c r="C100" i="11"/>
  <c r="G23" i="7"/>
  <c r="D25" i="9"/>
  <c r="D26" i="9" s="1"/>
  <c r="Q22" i="7" l="1"/>
  <c r="G65" i="11" s="1"/>
  <c r="G183" i="11"/>
  <c r="C110" i="11"/>
  <c r="D103" i="11" s="1"/>
  <c r="Q30" i="11"/>
  <c r="Q35" i="11" s="1"/>
  <c r="G30" i="11"/>
  <c r="G35" i="11" s="1"/>
  <c r="T30" i="11"/>
  <c r="T35" i="11" s="1"/>
  <c r="Z30" i="11"/>
  <c r="Z35" i="11" s="1"/>
  <c r="S30" i="11"/>
  <c r="S35" i="11" s="1"/>
  <c r="X30" i="11"/>
  <c r="X35" i="11" s="1"/>
  <c r="H30" i="11"/>
  <c r="H35" i="11" s="1"/>
  <c r="M30" i="11"/>
  <c r="M35" i="11" s="1"/>
  <c r="N30" i="11"/>
  <c r="N35" i="11" s="1"/>
  <c r="O30" i="11"/>
  <c r="O35" i="11" s="1"/>
  <c r="I30" i="11"/>
  <c r="I35" i="11" s="1"/>
  <c r="L30" i="11"/>
  <c r="L35" i="11" s="1"/>
  <c r="U30" i="11"/>
  <c r="U35" i="11" s="1"/>
  <c r="R30" i="11"/>
  <c r="R35" i="11" s="1"/>
  <c r="P30" i="11"/>
  <c r="P35" i="11" s="1"/>
  <c r="K30" i="11"/>
  <c r="K35" i="11" s="1"/>
  <c r="V30" i="11"/>
  <c r="V35" i="11" s="1"/>
  <c r="Y30" i="11"/>
  <c r="Y35" i="11" s="1"/>
  <c r="W30" i="11"/>
  <c r="W35" i="11" s="1"/>
  <c r="J30" i="11"/>
  <c r="J35" i="11" s="1"/>
  <c r="Q86" i="11"/>
  <c r="S86" i="11"/>
  <c r="U86" i="11"/>
  <c r="P87" i="11"/>
  <c r="R87" i="11"/>
  <c r="T87" i="11"/>
  <c r="F91" i="11"/>
  <c r="F93" i="11" s="1"/>
  <c r="G90" i="11" s="1"/>
  <c r="O87" i="11"/>
  <c r="I87" i="11"/>
  <c r="M86" i="11"/>
  <c r="I86" i="11"/>
  <c r="G86" i="11"/>
  <c r="G43" i="11" s="1"/>
  <c r="R86" i="11"/>
  <c r="R43" i="11" s="1"/>
  <c r="T86" i="11"/>
  <c r="T43" i="11" s="1"/>
  <c r="J86" i="11"/>
  <c r="Q87" i="11"/>
  <c r="S87" i="11"/>
  <c r="U87" i="11"/>
  <c r="G63" i="7"/>
  <c r="P86" i="11"/>
  <c r="M87" i="11"/>
  <c r="K87" i="11"/>
  <c r="H87" i="11"/>
  <c r="N87" i="11"/>
  <c r="L87" i="11"/>
  <c r="J87" i="11"/>
  <c r="H86" i="11"/>
  <c r="N86" i="11"/>
  <c r="L86" i="11"/>
  <c r="G87" i="11"/>
  <c r="O86" i="11"/>
  <c r="K86" i="11"/>
  <c r="F54" i="11"/>
  <c r="G64" i="7"/>
  <c r="C112" i="11" l="1"/>
  <c r="E107" i="11" s="1"/>
  <c r="G186" i="11"/>
  <c r="G66" i="11" s="1"/>
  <c r="Q36" i="7"/>
  <c r="C111" i="11"/>
  <c r="D101" i="11"/>
  <c r="D102" i="11"/>
  <c r="D104" i="11"/>
  <c r="D99" i="11"/>
  <c r="D100" i="11"/>
  <c r="D106" i="11"/>
  <c r="D105" i="11"/>
  <c r="D108" i="11"/>
  <c r="K43" i="11"/>
  <c r="K85" i="11"/>
  <c r="F11" i="10" s="1"/>
  <c r="G85" i="11"/>
  <c r="G46" i="11"/>
  <c r="G92" i="11"/>
  <c r="G93" i="11" s="1"/>
  <c r="H90" i="11" s="1"/>
  <c r="N43" i="11"/>
  <c r="N85" i="11"/>
  <c r="F14" i="10" s="1"/>
  <c r="J92" i="11"/>
  <c r="J46" i="11"/>
  <c r="N46" i="11"/>
  <c r="N92" i="11"/>
  <c r="K92" i="11"/>
  <c r="K46" i="11"/>
  <c r="P43" i="11"/>
  <c r="P85" i="11"/>
  <c r="F16" i="10" s="1"/>
  <c r="U92" i="11"/>
  <c r="U46" i="11"/>
  <c r="Q46" i="11"/>
  <c r="Q92" i="11"/>
  <c r="M43" i="11"/>
  <c r="M85" i="11"/>
  <c r="F13" i="10" s="1"/>
  <c r="O92" i="11"/>
  <c r="O46" i="11"/>
  <c r="T85" i="11"/>
  <c r="F20" i="10" s="1"/>
  <c r="T92" i="11"/>
  <c r="T46" i="11"/>
  <c r="P92" i="11"/>
  <c r="P46" i="11"/>
  <c r="S43" i="11"/>
  <c r="S85" i="11"/>
  <c r="F19" i="10" s="1"/>
  <c r="W36" i="11"/>
  <c r="W37" i="11"/>
  <c r="E23" i="10"/>
  <c r="S23" i="10" s="1"/>
  <c r="V37" i="11"/>
  <c r="V36" i="11"/>
  <c r="E22" i="10"/>
  <c r="E16" i="10"/>
  <c r="P36" i="11"/>
  <c r="P37" i="11"/>
  <c r="E21" i="10"/>
  <c r="U37" i="11"/>
  <c r="U36" i="11"/>
  <c r="I36" i="11"/>
  <c r="I37" i="11"/>
  <c r="E9" i="10"/>
  <c r="N37" i="11"/>
  <c r="E14" i="10"/>
  <c r="N36" i="11"/>
  <c r="H36" i="11"/>
  <c r="E8" i="10"/>
  <c r="H37" i="11"/>
  <c r="E19" i="10"/>
  <c r="S37" i="11"/>
  <c r="S36" i="11"/>
  <c r="T37" i="11"/>
  <c r="T36" i="11"/>
  <c r="E20" i="10"/>
  <c r="Q37" i="11"/>
  <c r="Q36" i="11"/>
  <c r="E17" i="10"/>
  <c r="O43" i="11"/>
  <c r="O85" i="11"/>
  <c r="F15" i="10" s="1"/>
  <c r="L43" i="11"/>
  <c r="L85" i="11"/>
  <c r="F12" i="10" s="1"/>
  <c r="H43" i="11"/>
  <c r="H85" i="11"/>
  <c r="F8" i="10" s="1"/>
  <c r="L46" i="11"/>
  <c r="L92" i="11"/>
  <c r="H46" i="11"/>
  <c r="H92" i="11"/>
  <c r="M46" i="11"/>
  <c r="M92" i="11"/>
  <c r="S46" i="11"/>
  <c r="S92" i="11"/>
  <c r="J43" i="11"/>
  <c r="J85" i="11"/>
  <c r="F10" i="10" s="1"/>
  <c r="I85" i="11"/>
  <c r="F9" i="10" s="1"/>
  <c r="S9" i="10" s="1"/>
  <c r="I43" i="11"/>
  <c r="I92" i="11"/>
  <c r="I46" i="11"/>
  <c r="R85" i="11"/>
  <c r="F18" i="10" s="1"/>
  <c r="R46" i="11"/>
  <c r="R92" i="11"/>
  <c r="U43" i="11"/>
  <c r="U85" i="11"/>
  <c r="F21" i="10" s="1"/>
  <c r="Q85" i="11"/>
  <c r="F17" i="10" s="1"/>
  <c r="Q43" i="11"/>
  <c r="J37" i="11"/>
  <c r="J36" i="11"/>
  <c r="E10" i="10"/>
  <c r="Y37" i="11"/>
  <c r="E25" i="10"/>
  <c r="S25" i="10" s="1"/>
  <c r="Y36" i="11"/>
  <c r="E11" i="10"/>
  <c r="K37" i="11"/>
  <c r="K36" i="11"/>
  <c r="R36" i="11"/>
  <c r="E18" i="10"/>
  <c r="R37" i="11"/>
  <c r="L37" i="11"/>
  <c r="E12" i="10"/>
  <c r="L36" i="11"/>
  <c r="E15" i="10"/>
  <c r="O37" i="11"/>
  <c r="O36" i="11"/>
  <c r="E13" i="10"/>
  <c r="M37" i="11"/>
  <c r="M36" i="11"/>
  <c r="X37" i="11"/>
  <c r="E24" i="10"/>
  <c r="S24" i="10" s="1"/>
  <c r="X36" i="11"/>
  <c r="E26" i="10"/>
  <c r="Z36" i="11"/>
  <c r="Z37" i="11"/>
  <c r="G36" i="11"/>
  <c r="G37" i="11"/>
  <c r="D28" i="9" s="1"/>
  <c r="E7" i="10"/>
  <c r="G66" i="7"/>
  <c r="F64" i="7" s="1"/>
  <c r="F67" i="11"/>
  <c r="E103" i="11" l="1"/>
  <c r="H120" i="11" s="1"/>
  <c r="E100" i="11"/>
  <c r="P117" i="11" s="1"/>
  <c r="E101" i="11"/>
  <c r="M118" i="11" s="1"/>
  <c r="E106" i="11"/>
  <c r="L123" i="11" s="1"/>
  <c r="E102" i="11"/>
  <c r="G119" i="11" s="1"/>
  <c r="E105" i="11"/>
  <c r="I122" i="11" s="1"/>
  <c r="E104" i="11"/>
  <c r="G121" i="11" s="1"/>
  <c r="E108" i="11"/>
  <c r="E125" i="11" s="1"/>
  <c r="E99" i="11"/>
  <c r="I116" i="11" s="1"/>
  <c r="S8" i="10"/>
  <c r="S17" i="10"/>
  <c r="D110" i="11"/>
  <c r="D111" i="11" s="1"/>
  <c r="S21" i="10"/>
  <c r="F7" i="10"/>
  <c r="S7" i="10" s="1"/>
  <c r="Q66" i="7"/>
  <c r="Q69" i="7"/>
  <c r="F200" i="11" s="1"/>
  <c r="Z200" i="11" s="1"/>
  <c r="Z209" i="11" s="1"/>
  <c r="Z47" i="11" s="1"/>
  <c r="G26" i="10" s="1"/>
  <c r="S26" i="10" s="1"/>
  <c r="S18" i="10"/>
  <c r="S13" i="10"/>
  <c r="S16" i="10"/>
  <c r="S14" i="10"/>
  <c r="H93" i="11"/>
  <c r="I90" i="11" s="1"/>
  <c r="I93" i="11" s="1"/>
  <c r="J90" i="11" s="1"/>
  <c r="J93" i="11" s="1"/>
  <c r="K90" i="11" s="1"/>
  <c r="K93" i="11" s="1"/>
  <c r="L90" i="11" s="1"/>
  <c r="L93" i="11" s="1"/>
  <c r="M90" i="11" s="1"/>
  <c r="M93" i="11" s="1"/>
  <c r="N90" i="11" s="1"/>
  <c r="N93" i="11" s="1"/>
  <c r="O90" i="11" s="1"/>
  <c r="O93" i="11" s="1"/>
  <c r="P90" i="11" s="1"/>
  <c r="P93" i="11" s="1"/>
  <c r="Q90" i="11" s="1"/>
  <c r="Q93" i="11" s="1"/>
  <c r="R90" i="11" s="1"/>
  <c r="R93" i="11" s="1"/>
  <c r="S90" i="11" s="1"/>
  <c r="S93" i="11" s="1"/>
  <c r="T90" i="11" s="1"/>
  <c r="T93" i="11" s="1"/>
  <c r="U90" i="11" s="1"/>
  <c r="U93" i="11" s="1"/>
  <c r="V90" i="11" s="1"/>
  <c r="V93" i="11" s="1"/>
  <c r="W90" i="11" s="1"/>
  <c r="W93" i="11" s="1"/>
  <c r="X90" i="11" s="1"/>
  <c r="X93" i="11" s="1"/>
  <c r="Y90" i="11" s="1"/>
  <c r="Y93" i="11" s="1"/>
  <c r="Z90" i="11" s="1"/>
  <c r="Z93" i="11" s="1"/>
  <c r="AA90" i="11" s="1"/>
  <c r="AA93" i="11" s="1"/>
  <c r="AB90" i="11" s="1"/>
  <c r="AB93" i="11" s="1"/>
  <c r="AC90" i="11" s="1"/>
  <c r="AC93" i="11" s="1"/>
  <c r="AD90" i="11" s="1"/>
  <c r="AD93" i="11" s="1"/>
  <c r="AE90" i="11" s="1"/>
  <c r="AE93" i="11" s="1"/>
  <c r="AF90" i="11" s="1"/>
  <c r="AF93" i="11" s="1"/>
  <c r="AG90" i="11" s="1"/>
  <c r="AG93" i="11" s="1"/>
  <c r="AH90" i="11" s="1"/>
  <c r="AH93" i="11" s="1"/>
  <c r="AI90" i="11" s="1"/>
  <c r="AI93" i="11" s="1"/>
  <c r="AJ90" i="11" s="1"/>
  <c r="AJ93" i="11" s="1"/>
  <c r="S10" i="10"/>
  <c r="S12" i="10"/>
  <c r="S15" i="10"/>
  <c r="S19" i="10"/>
  <c r="S20" i="10"/>
  <c r="S11" i="10"/>
  <c r="M6" i="10"/>
  <c r="N6" i="10" s="1"/>
  <c r="G124" i="11"/>
  <c r="H124" i="11"/>
  <c r="I124" i="11"/>
  <c r="K124" i="11"/>
  <c r="M124" i="11"/>
  <c r="O124" i="11"/>
  <c r="P124" i="11"/>
  <c r="R124" i="11"/>
  <c r="T124" i="11"/>
  <c r="J124" i="11"/>
  <c r="N124" i="11"/>
  <c r="Q124" i="11"/>
  <c r="U124" i="11"/>
  <c r="W124" i="11"/>
  <c r="Y124" i="11"/>
  <c r="L124" i="11"/>
  <c r="S124" i="11"/>
  <c r="V124" i="11"/>
  <c r="X124" i="11"/>
  <c r="Z124" i="11"/>
  <c r="AA124" i="11"/>
  <c r="AC124" i="11"/>
  <c r="AE124" i="11"/>
  <c r="AG124" i="11"/>
  <c r="AI124" i="11"/>
  <c r="AB124" i="11"/>
  <c r="AD124" i="11"/>
  <c r="AF124" i="11"/>
  <c r="AH124" i="11"/>
  <c r="AJ124" i="11"/>
  <c r="F65" i="7"/>
  <c r="F63" i="7"/>
  <c r="G59" i="7" s="1"/>
  <c r="AE123" i="11" l="1"/>
  <c r="T123" i="11"/>
  <c r="S123" i="11"/>
  <c r="AD123" i="11"/>
  <c r="R123" i="11"/>
  <c r="J123" i="11"/>
  <c r="AA123" i="11"/>
  <c r="Z123" i="11"/>
  <c r="N123" i="11"/>
  <c r="AI123" i="11"/>
  <c r="Y123" i="11"/>
  <c r="I123" i="11"/>
  <c r="AI121" i="11"/>
  <c r="X121" i="11"/>
  <c r="V121" i="11"/>
  <c r="AH123" i="11"/>
  <c r="O123" i="11"/>
  <c r="V123" i="11"/>
  <c r="AA121" i="11"/>
  <c r="N121" i="11"/>
  <c r="W121" i="11"/>
  <c r="AD118" i="11"/>
  <c r="AG123" i="11"/>
  <c r="AJ123" i="11"/>
  <c r="AB123" i="11"/>
  <c r="P123" i="11"/>
  <c r="X123" i="11"/>
  <c r="H123" i="11"/>
  <c r="Q123" i="11"/>
  <c r="G123" i="11"/>
  <c r="AC123" i="11"/>
  <c r="AF123" i="11"/>
  <c r="W123" i="11"/>
  <c r="K123" i="11"/>
  <c r="M123" i="11"/>
  <c r="U123" i="11"/>
  <c r="X118" i="11"/>
  <c r="Y121" i="11"/>
  <c r="I121" i="11"/>
  <c r="AH121" i="11"/>
  <c r="T121" i="11"/>
  <c r="L121" i="11"/>
  <c r="AI118" i="11"/>
  <c r="H118" i="11"/>
  <c r="AA118" i="11"/>
  <c r="AG118" i="11"/>
  <c r="AE121" i="11"/>
  <c r="AF121" i="11"/>
  <c r="R121" i="11"/>
  <c r="O121" i="11"/>
  <c r="U121" i="11"/>
  <c r="J121" i="11"/>
  <c r="Q118" i="11"/>
  <c r="L118" i="11"/>
  <c r="N118" i="11"/>
  <c r="R122" i="11"/>
  <c r="AC121" i="11"/>
  <c r="AD121" i="11"/>
  <c r="Z121" i="11"/>
  <c r="K121" i="11"/>
  <c r="S121" i="11"/>
  <c r="AE122" i="11"/>
  <c r="K118" i="11"/>
  <c r="O118" i="11"/>
  <c r="W118" i="11"/>
  <c r="J120" i="11"/>
  <c r="Q117" i="11"/>
  <c r="AG121" i="11"/>
  <c r="AJ121" i="11"/>
  <c r="AB121" i="11"/>
  <c r="M121" i="11"/>
  <c r="P121" i="11"/>
  <c r="H121" i="11"/>
  <c r="Q121" i="11"/>
  <c r="AB117" i="11"/>
  <c r="R118" i="11"/>
  <c r="Y118" i="11"/>
  <c r="AJ118" i="11"/>
  <c r="T118" i="11"/>
  <c r="H117" i="11"/>
  <c r="X122" i="11"/>
  <c r="K122" i="11"/>
  <c r="M117" i="11"/>
  <c r="G117" i="11"/>
  <c r="AD122" i="11"/>
  <c r="L122" i="11"/>
  <c r="AJ117" i="11"/>
  <c r="Y122" i="11"/>
  <c r="AG117" i="11"/>
  <c r="AC118" i="11"/>
  <c r="P118" i="11"/>
  <c r="AD119" i="11"/>
  <c r="V120" i="11"/>
  <c r="AB120" i="11"/>
  <c r="K116" i="11"/>
  <c r="I120" i="11"/>
  <c r="X116" i="11"/>
  <c r="S119" i="11"/>
  <c r="AJ120" i="11"/>
  <c r="W120" i="11"/>
  <c r="AE116" i="11"/>
  <c r="R116" i="11"/>
  <c r="AA119" i="11"/>
  <c r="I119" i="11"/>
  <c r="AD116" i="11"/>
  <c r="N116" i="11"/>
  <c r="AI119" i="11"/>
  <c r="Z119" i="11"/>
  <c r="AC120" i="11"/>
  <c r="P120" i="11"/>
  <c r="Y116" i="11"/>
  <c r="T119" i="11"/>
  <c r="J119" i="11"/>
  <c r="AD120" i="11"/>
  <c r="Y120" i="11"/>
  <c r="N120" i="11"/>
  <c r="K120" i="11"/>
  <c r="AF116" i="11"/>
  <c r="AG116" i="11"/>
  <c r="Z116" i="11"/>
  <c r="L116" i="11"/>
  <c r="Q116" i="11"/>
  <c r="T116" i="11"/>
  <c r="M116" i="11"/>
  <c r="AC119" i="11"/>
  <c r="AF119" i="11"/>
  <c r="W119" i="11"/>
  <c r="K119" i="11"/>
  <c r="M119" i="11"/>
  <c r="U119" i="11"/>
  <c r="L119" i="11"/>
  <c r="E110" i="11"/>
  <c r="E111" i="11" s="1"/>
  <c r="X120" i="11"/>
  <c r="R120" i="11"/>
  <c r="L120" i="11"/>
  <c r="AI116" i="11"/>
  <c r="G116" i="11"/>
  <c r="AE119" i="11"/>
  <c r="Y119" i="11"/>
  <c r="O119" i="11"/>
  <c r="R119" i="11"/>
  <c r="V119" i="11"/>
  <c r="N119" i="11"/>
  <c r="AE120" i="11"/>
  <c r="AF120" i="11"/>
  <c r="AG120" i="11"/>
  <c r="Z120" i="11"/>
  <c r="Q120" i="11"/>
  <c r="T120" i="11"/>
  <c r="M120" i="11"/>
  <c r="AH116" i="11"/>
  <c r="AA116" i="11"/>
  <c r="S116" i="11"/>
  <c r="U116" i="11"/>
  <c r="O116" i="11"/>
  <c r="H116" i="11"/>
  <c r="AH119" i="11"/>
  <c r="AH120" i="11"/>
  <c r="AI120" i="11"/>
  <c r="AA120" i="11"/>
  <c r="S120" i="11"/>
  <c r="U120" i="11"/>
  <c r="G120" i="11"/>
  <c r="O120" i="11"/>
  <c r="AJ116" i="11"/>
  <c r="AB116" i="11"/>
  <c r="AC116" i="11"/>
  <c r="V116" i="11"/>
  <c r="W116" i="11"/>
  <c r="J116" i="11"/>
  <c r="P116" i="11"/>
  <c r="AG119" i="11"/>
  <c r="AJ119" i="11"/>
  <c r="AB119" i="11"/>
  <c r="P119" i="11"/>
  <c r="X119" i="11"/>
  <c r="H119" i="11"/>
  <c r="Q119" i="11"/>
  <c r="AF122" i="11"/>
  <c r="N122" i="11"/>
  <c r="R117" i="11"/>
  <c r="I117" i="11"/>
  <c r="J117" i="11"/>
  <c r="AI117" i="11"/>
  <c r="AD117" i="11"/>
  <c r="T117" i="11"/>
  <c r="S117" i="11"/>
  <c r="AA122" i="11"/>
  <c r="O122" i="11"/>
  <c r="AC117" i="11"/>
  <c r="AF117" i="11"/>
  <c r="W117" i="11"/>
  <c r="X117" i="11"/>
  <c r="K117" i="11"/>
  <c r="U117" i="11"/>
  <c r="L117" i="11"/>
  <c r="AB118" i="11"/>
  <c r="U118" i="11"/>
  <c r="J118" i="11"/>
  <c r="I118" i="11"/>
  <c r="AG122" i="11"/>
  <c r="Z122" i="11"/>
  <c r="S122" i="11"/>
  <c r="T122" i="11"/>
  <c r="M122" i="11"/>
  <c r="AA117" i="11"/>
  <c r="AH122" i="11"/>
  <c r="AI122" i="11"/>
  <c r="Q122" i="11"/>
  <c r="V122" i="11"/>
  <c r="G122" i="11"/>
  <c r="H122" i="11"/>
  <c r="AJ122" i="11"/>
  <c r="AB122" i="11"/>
  <c r="AC122" i="11"/>
  <c r="U122" i="11"/>
  <c r="W122" i="11"/>
  <c r="J122" i="11"/>
  <c r="P122" i="11"/>
  <c r="AE117" i="11"/>
  <c r="AH117" i="11"/>
  <c r="Y117" i="11"/>
  <c r="Z117" i="11"/>
  <c r="O117" i="11"/>
  <c r="V117" i="11"/>
  <c r="N117" i="11"/>
  <c r="AH118" i="11"/>
  <c r="V118" i="11"/>
  <c r="AE118" i="11"/>
  <c r="G118" i="11"/>
  <c r="AF118" i="11"/>
  <c r="Z118" i="11"/>
  <c r="S118" i="11"/>
  <c r="F199" i="11"/>
  <c r="G20" i="7"/>
  <c r="C109" i="12"/>
  <c r="E124" i="11"/>
  <c r="E123" i="11" l="1"/>
  <c r="O142" i="11"/>
  <c r="O57" i="11" s="1"/>
  <c r="E121" i="11"/>
  <c r="P142" i="11"/>
  <c r="P144" i="11" s="1"/>
  <c r="Z142" i="11"/>
  <c r="Z144" i="11" s="1"/>
  <c r="X142" i="11"/>
  <c r="X144" i="11" s="1"/>
  <c r="H142" i="11"/>
  <c r="H144" i="11" s="1"/>
  <c r="N142" i="11"/>
  <c r="N144" i="11" s="1"/>
  <c r="M142" i="11"/>
  <c r="M144" i="11" s="1"/>
  <c r="E120" i="11"/>
  <c r="L142" i="11"/>
  <c r="L57" i="11" s="1"/>
  <c r="W142" i="11"/>
  <c r="W57" i="11" s="1"/>
  <c r="G142" i="11"/>
  <c r="G144" i="11" s="1"/>
  <c r="Y142" i="11"/>
  <c r="Y144" i="11" s="1"/>
  <c r="K142" i="11"/>
  <c r="K144" i="11" s="1"/>
  <c r="T142" i="11"/>
  <c r="T144" i="11" s="1"/>
  <c r="I142" i="11"/>
  <c r="I144" i="11" s="1"/>
  <c r="E119" i="11"/>
  <c r="E116" i="11"/>
  <c r="V142" i="11"/>
  <c r="V144" i="11" s="1"/>
  <c r="R142" i="11"/>
  <c r="R144" i="11" s="1"/>
  <c r="Q142" i="11"/>
  <c r="Q144" i="11" s="1"/>
  <c r="E122" i="11"/>
  <c r="U142" i="11"/>
  <c r="U144" i="11" s="1"/>
  <c r="S142" i="11"/>
  <c r="S144" i="11" s="1"/>
  <c r="E117" i="11"/>
  <c r="E118" i="11"/>
  <c r="J142" i="11"/>
  <c r="J57" i="11" s="1"/>
  <c r="C110" i="12"/>
  <c r="D110" i="12" s="1"/>
  <c r="N120" i="12"/>
  <c r="N121" i="12" s="1"/>
  <c r="V199" i="11"/>
  <c r="V209" i="11" s="1"/>
  <c r="V47" i="11" s="1"/>
  <c r="G22" i="10" s="1"/>
  <c r="S22" i="10" s="1"/>
  <c r="F206" i="11"/>
  <c r="G198" i="11" s="1"/>
  <c r="L144" i="11" l="1"/>
  <c r="R57" i="11"/>
  <c r="W144" i="11"/>
  <c r="U57" i="11"/>
  <c r="O144" i="11"/>
  <c r="X57" i="11"/>
  <c r="H57" i="11"/>
  <c r="K57" i="11"/>
  <c r="V57" i="11"/>
  <c r="P57" i="11"/>
  <c r="N57" i="11"/>
  <c r="T57" i="11"/>
  <c r="Z57" i="11"/>
  <c r="Y57" i="11"/>
  <c r="Q57" i="11"/>
  <c r="G57" i="11"/>
  <c r="M57" i="11"/>
  <c r="E126" i="11"/>
  <c r="F126" i="11" s="1"/>
  <c r="I57" i="11"/>
  <c r="S57" i="11"/>
  <c r="J144" i="11"/>
  <c r="G206" i="11"/>
  <c r="H198" i="11" s="1"/>
  <c r="C120" i="12"/>
  <c r="C121" i="12" s="1"/>
  <c r="D120" i="12"/>
  <c r="D121" i="12" s="1"/>
  <c r="H206" i="11" l="1"/>
  <c r="I198" i="11" s="1"/>
  <c r="G208" i="11"/>
  <c r="G22" i="11" s="1"/>
  <c r="G23" i="11" s="1"/>
  <c r="G39" i="11" l="1"/>
  <c r="D7" i="10"/>
  <c r="H7" i="10" s="1"/>
  <c r="I206" i="11"/>
  <c r="J198" i="11" s="1"/>
  <c r="H208" i="11"/>
  <c r="H22" i="11" s="1"/>
  <c r="H23" i="11" s="1"/>
  <c r="D8" i="10" l="1"/>
  <c r="H8" i="10" s="1"/>
  <c r="H39" i="11"/>
  <c r="J206" i="11"/>
  <c r="K198" i="11" s="1"/>
  <c r="G44" i="11"/>
  <c r="G41" i="11"/>
  <c r="P7" i="10" s="1"/>
  <c r="I208" i="11"/>
  <c r="I22" i="11" s="1"/>
  <c r="I23" i="11" s="1"/>
  <c r="D9" i="10" l="1"/>
  <c r="H9" i="10" s="1"/>
  <c r="I39" i="11"/>
  <c r="G49" i="11"/>
  <c r="G53" i="11" s="1"/>
  <c r="G54" i="11" s="1"/>
  <c r="G58" i="11"/>
  <c r="K206" i="11"/>
  <c r="L198" i="11" s="1"/>
  <c r="H41" i="11"/>
  <c r="P8" i="10" s="1"/>
  <c r="H44" i="11"/>
  <c r="J208" i="11"/>
  <c r="J22" i="11" s="1"/>
  <c r="J23" i="11" s="1"/>
  <c r="J39" i="11" l="1"/>
  <c r="D10" i="10"/>
  <c r="L206" i="11"/>
  <c r="M198" i="11" s="1"/>
  <c r="G55" i="11"/>
  <c r="H49" i="11"/>
  <c r="H53" i="11" s="1"/>
  <c r="H54" i="11" s="1"/>
  <c r="H58" i="11"/>
  <c r="G60" i="11"/>
  <c r="G149" i="11"/>
  <c r="G61" i="11"/>
  <c r="I41" i="11"/>
  <c r="P9" i="10" s="1"/>
  <c r="I44" i="11"/>
  <c r="K208" i="11"/>
  <c r="K22" i="11" s="1"/>
  <c r="K23" i="11" s="1"/>
  <c r="K39" i="11" l="1"/>
  <c r="D11" i="10"/>
  <c r="H11" i="10" s="1"/>
  <c r="I58" i="11"/>
  <c r="I49" i="11"/>
  <c r="I53" i="11" s="1"/>
  <c r="I54" i="11" s="1"/>
  <c r="I55" i="11" s="1"/>
  <c r="J7" i="10"/>
  <c r="G64" i="11"/>
  <c r="L7" i="10" s="1"/>
  <c r="I7" i="10"/>
  <c r="M206" i="11"/>
  <c r="N198" i="11" s="1"/>
  <c r="J41" i="11"/>
  <c r="P10" i="10" s="1"/>
  <c r="J44" i="11"/>
  <c r="G162" i="11"/>
  <c r="G161" i="11"/>
  <c r="G154" i="11"/>
  <c r="G153" i="11"/>
  <c r="H61" i="11"/>
  <c r="H60" i="11"/>
  <c r="H149" i="11"/>
  <c r="H10" i="10"/>
  <c r="H55" i="11"/>
  <c r="L208" i="11"/>
  <c r="L22" i="11" s="1"/>
  <c r="L23" i="11" s="1"/>
  <c r="G63" i="11" l="1"/>
  <c r="K7" i="10" s="1"/>
  <c r="G165" i="11"/>
  <c r="M208" i="11"/>
  <c r="M22" i="11" s="1"/>
  <c r="M23" i="11" s="1"/>
  <c r="D13" i="10" s="1"/>
  <c r="H13" i="10" s="1"/>
  <c r="D12" i="10"/>
  <c r="H12" i="10" s="1"/>
  <c r="L39" i="11"/>
  <c r="I8" i="10"/>
  <c r="I61" i="11"/>
  <c r="I60" i="11"/>
  <c r="I149" i="11"/>
  <c r="K44" i="11"/>
  <c r="K41" i="11"/>
  <c r="P11" i="10" s="1"/>
  <c r="H153" i="11"/>
  <c r="H161" i="11"/>
  <c r="H64" i="11"/>
  <c r="L8" i="10" s="1"/>
  <c r="J8" i="10"/>
  <c r="G157" i="11"/>
  <c r="G155" i="11"/>
  <c r="H152" i="11" s="1"/>
  <c r="J58" i="11"/>
  <c r="J49" i="11"/>
  <c r="J53" i="11" s="1"/>
  <c r="J54" i="11" s="1"/>
  <c r="N206" i="11"/>
  <c r="O198" i="11" s="1"/>
  <c r="G163" i="11"/>
  <c r="H160" i="11" s="1"/>
  <c r="M39" i="11" l="1"/>
  <c r="M41" i="11" s="1"/>
  <c r="P13" i="10" s="1"/>
  <c r="G67" i="11"/>
  <c r="G68" i="11" s="1"/>
  <c r="O7" i="10" s="1"/>
  <c r="H154" i="11"/>
  <c r="H155" i="11" s="1"/>
  <c r="I152" i="11" s="1"/>
  <c r="H162" i="11"/>
  <c r="H165" i="11" s="1"/>
  <c r="J55" i="11"/>
  <c r="I153" i="11"/>
  <c r="I161" i="11"/>
  <c r="J9" i="10"/>
  <c r="I64" i="11"/>
  <c r="L9" i="10" s="1"/>
  <c r="N208" i="11"/>
  <c r="N22" i="11" s="1"/>
  <c r="N23" i="11" s="1"/>
  <c r="R7" i="10"/>
  <c r="M7" i="10"/>
  <c r="N7" i="10" s="1"/>
  <c r="O206" i="11"/>
  <c r="P198" i="11" s="1"/>
  <c r="J61" i="11"/>
  <c r="J149" i="11"/>
  <c r="J60" i="11"/>
  <c r="K58" i="11"/>
  <c r="K49" i="11"/>
  <c r="K53" i="11" s="1"/>
  <c r="K54" i="11" s="1"/>
  <c r="K55" i="11" s="1"/>
  <c r="I9" i="10"/>
  <c r="L44" i="11"/>
  <c r="L41" i="11"/>
  <c r="P12" i="10" s="1"/>
  <c r="H63" i="11"/>
  <c r="M44" i="11" l="1"/>
  <c r="M49" i="11" s="1"/>
  <c r="M53" i="11" s="1"/>
  <c r="M54" i="11" s="1"/>
  <c r="H163" i="11"/>
  <c r="I160" i="11" s="1"/>
  <c r="H157" i="11"/>
  <c r="I63" i="11"/>
  <c r="I67" i="11" s="1"/>
  <c r="I162" i="11"/>
  <c r="I165" i="11" s="1"/>
  <c r="I154" i="11"/>
  <c r="I157" i="11" s="1"/>
  <c r="O208" i="11"/>
  <c r="O22" i="11" s="1"/>
  <c r="O23" i="11" s="1"/>
  <c r="D15" i="10" s="1"/>
  <c r="H15" i="10" s="1"/>
  <c r="I10" i="10"/>
  <c r="J10" i="10"/>
  <c r="J64" i="11"/>
  <c r="L10" i="10" s="1"/>
  <c r="P206" i="11"/>
  <c r="Q198" i="11" s="1"/>
  <c r="N39" i="11"/>
  <c r="D14" i="10"/>
  <c r="K8" i="10"/>
  <c r="H67" i="11"/>
  <c r="L49" i="11"/>
  <c r="L53" i="11" s="1"/>
  <c r="L54" i="11" s="1"/>
  <c r="L58" i="11"/>
  <c r="K60" i="11"/>
  <c r="K149" i="11"/>
  <c r="K61" i="11"/>
  <c r="J161" i="11"/>
  <c r="J153" i="11"/>
  <c r="K9" i="10" l="1"/>
  <c r="R9" i="10" s="1"/>
  <c r="M58" i="11"/>
  <c r="M149" i="11" s="1"/>
  <c r="O39" i="11"/>
  <c r="O41" i="11" s="1"/>
  <c r="P15" i="10" s="1"/>
  <c r="I163" i="11"/>
  <c r="J160" i="11" s="1"/>
  <c r="I155" i="11"/>
  <c r="J154" i="11" s="1"/>
  <c r="J157" i="11" s="1"/>
  <c r="M55" i="11"/>
  <c r="K153" i="11"/>
  <c r="K161" i="11"/>
  <c r="L60" i="11"/>
  <c r="L61" i="11"/>
  <c r="L149" i="11"/>
  <c r="I68" i="11"/>
  <c r="O9" i="10" s="1"/>
  <c r="H68" i="11"/>
  <c r="O8" i="10" s="1"/>
  <c r="J11" i="10"/>
  <c r="K64" i="11"/>
  <c r="L11" i="10" s="1"/>
  <c r="I11" i="10"/>
  <c r="L55" i="11"/>
  <c r="R8" i="10"/>
  <c r="M8" i="10"/>
  <c r="N8" i="10" s="1"/>
  <c r="H14" i="10"/>
  <c r="P208" i="11"/>
  <c r="P22" i="11" s="1"/>
  <c r="P23" i="11" s="1"/>
  <c r="J63" i="11"/>
  <c r="N41" i="11"/>
  <c r="P14" i="10" s="1"/>
  <c r="N44" i="11"/>
  <c r="Q206" i="11"/>
  <c r="R198" i="11" s="1"/>
  <c r="M9" i="10" l="1"/>
  <c r="M60" i="11"/>
  <c r="I13" i="10" s="1"/>
  <c r="M61" i="11"/>
  <c r="J13" i="10" s="1"/>
  <c r="K63" i="11"/>
  <c r="K67" i="11" s="1"/>
  <c r="O44" i="11"/>
  <c r="O58" i="11" s="1"/>
  <c r="J152" i="11"/>
  <c r="J155" i="11" s="1"/>
  <c r="K152" i="11" s="1"/>
  <c r="J162" i="11"/>
  <c r="Q208" i="11"/>
  <c r="Q22" i="11" s="1"/>
  <c r="Q23" i="11" s="1"/>
  <c r="Q39" i="11" s="1"/>
  <c r="N49" i="11"/>
  <c r="N53" i="11" s="1"/>
  <c r="N54" i="11" s="1"/>
  <c r="N58" i="11"/>
  <c r="M64" i="11"/>
  <c r="L13" i="10" s="1"/>
  <c r="J12" i="10"/>
  <c r="L64" i="11"/>
  <c r="L12" i="10" s="1"/>
  <c r="K162" i="11"/>
  <c r="K165" i="11" s="1"/>
  <c r="M161" i="11"/>
  <c r="M153" i="11"/>
  <c r="K10" i="10"/>
  <c r="J67" i="11"/>
  <c r="R206" i="11"/>
  <c r="S198" i="11" s="1"/>
  <c r="D16" i="10"/>
  <c r="H16" i="10" s="1"/>
  <c r="P39" i="11"/>
  <c r="L161" i="11"/>
  <c r="L153" i="11"/>
  <c r="I12" i="10"/>
  <c r="N9" i="10"/>
  <c r="K154" i="11"/>
  <c r="K157" i="11" s="1"/>
  <c r="O49" i="11" l="1"/>
  <c r="O53" i="11" s="1"/>
  <c r="O54" i="11" s="1"/>
  <c r="M63" i="11"/>
  <c r="M67" i="11" s="1"/>
  <c r="K11" i="10"/>
  <c r="R11" i="10" s="1"/>
  <c r="D17" i="10"/>
  <c r="H17" i="10" s="1"/>
  <c r="J165" i="11"/>
  <c r="J163" i="11"/>
  <c r="K160" i="11" s="1"/>
  <c r="K163" i="11" s="1"/>
  <c r="L160" i="11" s="1"/>
  <c r="L63" i="11"/>
  <c r="L67" i="11" s="1"/>
  <c r="L68" i="11" s="1"/>
  <c r="O12" i="10" s="1"/>
  <c r="R208" i="11"/>
  <c r="R22" i="11" s="1"/>
  <c r="R23" i="11" s="1"/>
  <c r="R39" i="11" s="1"/>
  <c r="O60" i="11"/>
  <c r="O149" i="11"/>
  <c r="O61" i="11"/>
  <c r="S206" i="11"/>
  <c r="T198" i="11" s="1"/>
  <c r="R10" i="10"/>
  <c r="M10" i="10"/>
  <c r="N10" i="10" s="1"/>
  <c r="N61" i="11"/>
  <c r="N149" i="11"/>
  <c r="N60" i="11"/>
  <c r="P41" i="11"/>
  <c r="P16" i="10" s="1"/>
  <c r="P44" i="11"/>
  <c r="K68" i="11"/>
  <c r="O11" i="10" s="1"/>
  <c r="J68" i="11"/>
  <c r="O10" i="10" s="1"/>
  <c r="Q41" i="11"/>
  <c r="P17" i="10" s="1"/>
  <c r="Q44" i="11"/>
  <c r="N55" i="11"/>
  <c r="O55" i="11"/>
  <c r="K155" i="11"/>
  <c r="K12" i="10" l="1"/>
  <c r="R12" i="10" s="1"/>
  <c r="K13" i="10"/>
  <c r="M13" i="10" s="1"/>
  <c r="D18" i="10"/>
  <c r="H18" i="10" s="1"/>
  <c r="M11" i="10"/>
  <c r="N11" i="10" s="1"/>
  <c r="M68" i="11"/>
  <c r="O13" i="10" s="1"/>
  <c r="Q49" i="11"/>
  <c r="Q53" i="11" s="1"/>
  <c r="Q54" i="11" s="1"/>
  <c r="Q58" i="11"/>
  <c r="P58" i="11"/>
  <c r="P49" i="11"/>
  <c r="P53" i="11" s="1"/>
  <c r="P54" i="11" s="1"/>
  <c r="N153" i="11"/>
  <c r="N161" i="11"/>
  <c r="O64" i="11"/>
  <c r="L15" i="10" s="1"/>
  <c r="J15" i="10"/>
  <c r="I15" i="10"/>
  <c r="S208" i="11"/>
  <c r="S22" i="11" s="1"/>
  <c r="S23" i="11" s="1"/>
  <c r="L152" i="11"/>
  <c r="L154" i="11"/>
  <c r="L157" i="11" s="1"/>
  <c r="L162" i="11"/>
  <c r="L165" i="11" s="1"/>
  <c r="R44" i="11"/>
  <c r="R41" i="11"/>
  <c r="I14" i="10"/>
  <c r="J14" i="10"/>
  <c r="N64" i="11"/>
  <c r="L14" i="10" s="1"/>
  <c r="T206" i="11"/>
  <c r="U198" i="11" s="1"/>
  <c r="O153" i="11"/>
  <c r="O161" i="11"/>
  <c r="M12" i="10" l="1"/>
  <c r="N12" i="10" s="1"/>
  <c r="N13" i="10" s="1"/>
  <c r="R13" i="10"/>
  <c r="O63" i="11"/>
  <c r="O67" i="11" s="1"/>
  <c r="P18" i="10"/>
  <c r="P60" i="11"/>
  <c r="P61" i="11"/>
  <c r="P149" i="11"/>
  <c r="T208" i="11"/>
  <c r="T22" i="11" s="1"/>
  <c r="T23" i="11" s="1"/>
  <c r="N63" i="11"/>
  <c r="L155" i="11"/>
  <c r="L163" i="11"/>
  <c r="M160" i="11" s="1"/>
  <c r="U206" i="11"/>
  <c r="V198" i="11" s="1"/>
  <c r="R49" i="11"/>
  <c r="R53" i="11" s="1"/>
  <c r="R54" i="11" s="1"/>
  <c r="R55" i="11" s="1"/>
  <c r="R58" i="11"/>
  <c r="D19" i="10"/>
  <c r="H19" i="10" s="1"/>
  <c r="S39" i="11"/>
  <c r="Q55" i="11"/>
  <c r="P55" i="11"/>
  <c r="Q61" i="11"/>
  <c r="Q149" i="11"/>
  <c r="Q60" i="11"/>
  <c r="K15" i="10" l="1"/>
  <c r="R15" i="10" s="1"/>
  <c r="Q153" i="11"/>
  <c r="Q161" i="11"/>
  <c r="S41" i="11"/>
  <c r="S44" i="11"/>
  <c r="R60" i="11"/>
  <c r="R149" i="11"/>
  <c r="R61" i="11"/>
  <c r="M152" i="11"/>
  <c r="M162" i="11"/>
  <c r="M165" i="11" s="1"/>
  <c r="M154" i="11"/>
  <c r="M157" i="11" s="1"/>
  <c r="D20" i="10"/>
  <c r="H20" i="10" s="1"/>
  <c r="T39" i="11"/>
  <c r="J16" i="10"/>
  <c r="P64" i="11"/>
  <c r="L16" i="10" s="1"/>
  <c r="U208" i="11"/>
  <c r="U22" i="11" s="1"/>
  <c r="U23" i="11" s="1"/>
  <c r="I17" i="10"/>
  <c r="J17" i="10"/>
  <c r="Q64" i="11"/>
  <c r="L17" i="10" s="1"/>
  <c r="V206" i="11"/>
  <c r="W198" i="11" s="1"/>
  <c r="K14" i="10"/>
  <c r="N67" i="11"/>
  <c r="P161" i="11"/>
  <c r="P153" i="11"/>
  <c r="I16" i="10"/>
  <c r="M15" i="10" l="1"/>
  <c r="M163" i="11"/>
  <c r="N160" i="11" s="1"/>
  <c r="P63" i="11"/>
  <c r="P67" i="11" s="1"/>
  <c r="P68" i="11" s="1"/>
  <c r="O16" i="10" s="1"/>
  <c r="V208" i="11"/>
  <c r="V22" i="11" s="1"/>
  <c r="V23" i="11" s="1"/>
  <c r="D22" i="10" s="1"/>
  <c r="N68" i="11"/>
  <c r="O14" i="10" s="1"/>
  <c r="O68" i="11"/>
  <c r="O15" i="10" s="1"/>
  <c r="R14" i="10"/>
  <c r="M14" i="10"/>
  <c r="N14" i="10" s="1"/>
  <c r="W206" i="11"/>
  <c r="X198" i="11" s="1"/>
  <c r="T44" i="11"/>
  <c r="T41" i="11"/>
  <c r="R153" i="11"/>
  <c r="R161" i="11"/>
  <c r="S49" i="11"/>
  <c r="S53" i="11" s="1"/>
  <c r="S54" i="11" s="1"/>
  <c r="S58" i="11"/>
  <c r="Q63" i="11"/>
  <c r="M155" i="11"/>
  <c r="U39" i="11"/>
  <c r="D21" i="10"/>
  <c r="H21" i="10" s="1"/>
  <c r="R64" i="11"/>
  <c r="L18" i="10" s="1"/>
  <c r="J18" i="10"/>
  <c r="I18" i="10"/>
  <c r="P19" i="10"/>
  <c r="N15" i="10" l="1"/>
  <c r="V39" i="11"/>
  <c r="V44" i="11" s="1"/>
  <c r="V49" i="11" s="1"/>
  <c r="V53" i="11" s="1"/>
  <c r="V54" i="11" s="1"/>
  <c r="K16" i="10"/>
  <c r="R16" i="10" s="1"/>
  <c r="W208" i="11"/>
  <c r="W22" i="11" s="1"/>
  <c r="W23" i="11" s="1"/>
  <c r="D23" i="10" s="1"/>
  <c r="H23" i="10" s="1"/>
  <c r="U44" i="11"/>
  <c r="U41" i="11"/>
  <c r="E41" i="11" s="1"/>
  <c r="G55" i="7" s="1"/>
  <c r="G56" i="7" s="1"/>
  <c r="K17" i="10"/>
  <c r="Q67" i="11"/>
  <c r="Q68" i="11" s="1"/>
  <c r="O17" i="10" s="1"/>
  <c r="S60" i="11"/>
  <c r="S61" i="11"/>
  <c r="S149" i="11"/>
  <c r="P20" i="10"/>
  <c r="H22" i="10"/>
  <c r="N152" i="11"/>
  <c r="N154" i="11"/>
  <c r="N157" i="11" s="1"/>
  <c r="N162" i="11"/>
  <c r="S55" i="11"/>
  <c r="T49" i="11"/>
  <c r="T53" i="11" s="1"/>
  <c r="T54" i="11" s="1"/>
  <c r="T58" i="11"/>
  <c r="X206" i="11"/>
  <c r="Y198" i="11" s="1"/>
  <c r="R63" i="11"/>
  <c r="V58" i="11" l="1"/>
  <c r="V61" i="11" s="1"/>
  <c r="M16" i="10"/>
  <c r="N16" i="10" s="1"/>
  <c r="D11" i="9"/>
  <c r="W39" i="11"/>
  <c r="W44" i="11" s="1"/>
  <c r="W49" i="11" s="1"/>
  <c r="W53" i="11" s="1"/>
  <c r="W54" i="11" s="1"/>
  <c r="X208" i="11"/>
  <c r="X22" i="11" s="1"/>
  <c r="X23" i="11" s="1"/>
  <c r="D24" i="10" s="1"/>
  <c r="H24" i="10" s="1"/>
  <c r="K18" i="10"/>
  <c r="R67" i="11"/>
  <c r="T60" i="11"/>
  <c r="T149" i="11"/>
  <c r="T61" i="11"/>
  <c r="S161" i="11"/>
  <c r="S153" i="11"/>
  <c r="I19" i="10"/>
  <c r="R17" i="10"/>
  <c r="M17" i="10"/>
  <c r="U58" i="11"/>
  <c r="U49" i="11"/>
  <c r="U53" i="11" s="1"/>
  <c r="U54" i="11" s="1"/>
  <c r="Y206" i="11"/>
  <c r="Z198" i="11" s="1"/>
  <c r="N165" i="11"/>
  <c r="N163" i="11"/>
  <c r="O160" i="11" s="1"/>
  <c r="J19" i="10"/>
  <c r="S64" i="11"/>
  <c r="L19" i="10" s="1"/>
  <c r="P21" i="10"/>
  <c r="F41" i="11"/>
  <c r="U42" i="11" s="1"/>
  <c r="U55" i="11"/>
  <c r="T55" i="11"/>
  <c r="N155" i="11"/>
  <c r="N17" i="10" l="1"/>
  <c r="V149" i="11"/>
  <c r="V153" i="11" s="1"/>
  <c r="V60" i="11"/>
  <c r="I22" i="10" s="1"/>
  <c r="X39" i="11"/>
  <c r="X44" i="11" s="1"/>
  <c r="X49" i="11" s="1"/>
  <c r="X53" i="11" s="1"/>
  <c r="X54" i="11" s="1"/>
  <c r="W58" i="11"/>
  <c r="W60" i="11" s="1"/>
  <c r="Y208" i="11"/>
  <c r="Y22" i="11" s="1"/>
  <c r="Y23" i="11" s="1"/>
  <c r="Y39" i="11" s="1"/>
  <c r="Y44" i="11" s="1"/>
  <c r="O154" i="11"/>
  <c r="O157" i="11" s="1"/>
  <c r="O152" i="11"/>
  <c r="O162" i="11"/>
  <c r="O165" i="11" s="1"/>
  <c r="V55" i="11"/>
  <c r="W55" i="11"/>
  <c r="T64" i="11"/>
  <c r="L20" i="10" s="1"/>
  <c r="J20" i="10"/>
  <c r="I20" i="10"/>
  <c r="R68" i="11"/>
  <c r="O18" i="10" s="1"/>
  <c r="X42" i="11"/>
  <c r="AB42" i="11"/>
  <c r="AF42" i="11"/>
  <c r="AJ42" i="11"/>
  <c r="Y42" i="11"/>
  <c r="AC42" i="11"/>
  <c r="AG42" i="11"/>
  <c r="H42" i="11"/>
  <c r="M42" i="11"/>
  <c r="P42" i="11"/>
  <c r="V42" i="11"/>
  <c r="Z42" i="11"/>
  <c r="AD42" i="11"/>
  <c r="AH42" i="11"/>
  <c r="W42" i="11"/>
  <c r="AA42" i="11"/>
  <c r="AE42" i="11"/>
  <c r="AI42" i="11"/>
  <c r="G42" i="11"/>
  <c r="J42" i="11"/>
  <c r="K42" i="11"/>
  <c r="L42" i="11"/>
  <c r="O42" i="11"/>
  <c r="Q42" i="11"/>
  <c r="G52" i="7"/>
  <c r="G53" i="7" s="1"/>
  <c r="I42" i="11"/>
  <c r="N42" i="11"/>
  <c r="R42" i="11"/>
  <c r="S42" i="11"/>
  <c r="T42" i="11"/>
  <c r="Z206" i="11"/>
  <c r="AA198" i="11" s="1"/>
  <c r="AA208" i="11" s="1"/>
  <c r="AA22" i="11" s="1"/>
  <c r="AA23" i="11" s="1"/>
  <c r="AA39" i="11" s="1"/>
  <c r="AA44" i="11" s="1"/>
  <c r="U61" i="11"/>
  <c r="U149" i="11"/>
  <c r="U60" i="11"/>
  <c r="T153" i="11"/>
  <c r="T161" i="11"/>
  <c r="J22" i="10"/>
  <c r="V64" i="11"/>
  <c r="L22" i="10" s="1"/>
  <c r="M18" i="10"/>
  <c r="R18" i="10"/>
  <c r="S63" i="11"/>
  <c r="N18" i="10" l="1"/>
  <c r="V161" i="11"/>
  <c r="X58" i="11"/>
  <c r="X60" i="11" s="1"/>
  <c r="W61" i="11"/>
  <c r="J23" i="10" s="1"/>
  <c r="D25" i="10"/>
  <c r="H25" i="10" s="1"/>
  <c r="W149" i="11"/>
  <c r="W161" i="11" s="1"/>
  <c r="O163" i="11"/>
  <c r="P160" i="11" s="1"/>
  <c r="D10" i="9"/>
  <c r="T63" i="11"/>
  <c r="K20" i="10" s="1"/>
  <c r="V63" i="11"/>
  <c r="V67" i="11" s="1"/>
  <c r="O155" i="11"/>
  <c r="P152" i="11" s="1"/>
  <c r="U161" i="11"/>
  <c r="U153" i="11"/>
  <c r="AA58" i="11"/>
  <c r="AA49" i="11"/>
  <c r="AA53" i="11" s="1"/>
  <c r="AA54" i="11" s="1"/>
  <c r="K19" i="10"/>
  <c r="S67" i="11"/>
  <c r="I21" i="10"/>
  <c r="J21" i="10"/>
  <c r="U64" i="11"/>
  <c r="L21" i="10" s="1"/>
  <c r="I23" i="10"/>
  <c r="Y58" i="11"/>
  <c r="Y49" i="11"/>
  <c r="Y53" i="11" s="1"/>
  <c r="Y54" i="11" s="1"/>
  <c r="Z208" i="11"/>
  <c r="Z22" i="11" s="1"/>
  <c r="Z23" i="11" s="1"/>
  <c r="F52" i="7"/>
  <c r="X55" i="11"/>
  <c r="X61" i="11" l="1"/>
  <c r="X64" i="11" s="1"/>
  <c r="L24" i="10" s="1"/>
  <c r="X149" i="11"/>
  <c r="X161" i="11" s="1"/>
  <c r="W64" i="11"/>
  <c r="L23" i="10" s="1"/>
  <c r="W153" i="11"/>
  <c r="K22" i="10"/>
  <c r="M22" i="10" s="1"/>
  <c r="T67" i="11"/>
  <c r="T68" i="11" s="1"/>
  <c r="O20" i="10" s="1"/>
  <c r="P154" i="11"/>
  <c r="P157" i="11" s="1"/>
  <c r="P162" i="11"/>
  <c r="P165" i="11" s="1"/>
  <c r="Y55" i="11"/>
  <c r="Z39" i="11"/>
  <c r="Z44" i="11" s="1"/>
  <c r="D26" i="10"/>
  <c r="Y60" i="11"/>
  <c r="Y149" i="11"/>
  <c r="Y61" i="11"/>
  <c r="M19" i="10"/>
  <c r="N19" i="10" s="1"/>
  <c r="R19" i="10"/>
  <c r="I24" i="10"/>
  <c r="AA61" i="11"/>
  <c r="AA64" i="11" s="1"/>
  <c r="AA60" i="11"/>
  <c r="AA149" i="11"/>
  <c r="S68" i="11"/>
  <c r="O19" i="10" s="1"/>
  <c r="M20" i="10"/>
  <c r="R20" i="10"/>
  <c r="X153" i="11"/>
  <c r="U63" i="11"/>
  <c r="W63" i="11" l="1"/>
  <c r="R22" i="10"/>
  <c r="J24" i="10"/>
  <c r="P163" i="11"/>
  <c r="Q160" i="11" s="1"/>
  <c r="P155" i="11"/>
  <c r="Q154" i="11" s="1"/>
  <c r="Q157" i="11" s="1"/>
  <c r="AA63" i="11"/>
  <c r="AA67" i="11" s="1"/>
  <c r="X63" i="11"/>
  <c r="K24" i="10" s="1"/>
  <c r="J25" i="10"/>
  <c r="Y64" i="11"/>
  <c r="L25" i="10" s="1"/>
  <c r="I25" i="10"/>
  <c r="Z49" i="11"/>
  <c r="Z53" i="11" s="1"/>
  <c r="Z54" i="11" s="1"/>
  <c r="Z58" i="11"/>
  <c r="K21" i="10"/>
  <c r="U67" i="11"/>
  <c r="AA153" i="11"/>
  <c r="AA161" i="11"/>
  <c r="Y161" i="11"/>
  <c r="Y153" i="11"/>
  <c r="H26" i="10"/>
  <c r="N20" i="10"/>
  <c r="W67" i="11" l="1"/>
  <c r="W68" i="11" s="1"/>
  <c r="O23" i="10" s="1"/>
  <c r="K23" i="10"/>
  <c r="Y63" i="11"/>
  <c r="Y67" i="11" s="1"/>
  <c r="Q152" i="11"/>
  <c r="Q155" i="11" s="1"/>
  <c r="Q162" i="11"/>
  <c r="X67" i="11"/>
  <c r="X68" i="11" s="1"/>
  <c r="O24" i="10" s="1"/>
  <c r="V68" i="11"/>
  <c r="O22" i="10" s="1"/>
  <c r="U68" i="11"/>
  <c r="O21" i="10" s="1"/>
  <c r="M21" i="10"/>
  <c r="N21" i="10" s="1"/>
  <c r="N22" i="10" s="1"/>
  <c r="R21" i="10"/>
  <c r="AB55" i="11"/>
  <c r="AC55" i="11"/>
  <c r="D70" i="11"/>
  <c r="AF55" i="11"/>
  <c r="AE55" i="11"/>
  <c r="AD55" i="11"/>
  <c r="Z55" i="11"/>
  <c r="AH55" i="11"/>
  <c r="AI55" i="11"/>
  <c r="AA55" i="11"/>
  <c r="AG55" i="11"/>
  <c r="AJ55" i="11"/>
  <c r="M24" i="10"/>
  <c r="R24" i="10"/>
  <c r="Z60" i="11"/>
  <c r="Z61" i="11"/>
  <c r="Z149" i="11"/>
  <c r="M23" i="10" l="1"/>
  <c r="R23" i="10"/>
  <c r="N23" i="10"/>
  <c r="N24" i="10"/>
  <c r="K25" i="10"/>
  <c r="M25" i="10" s="1"/>
  <c r="R152" i="11"/>
  <c r="R162" i="11"/>
  <c r="R165" i="11" s="1"/>
  <c r="R154" i="11"/>
  <c r="R157" i="11" s="1"/>
  <c r="Q165" i="11"/>
  <c r="Q163" i="11"/>
  <c r="R160" i="11" s="1"/>
  <c r="Z161" i="11"/>
  <c r="Z153" i="11"/>
  <c r="I26" i="10"/>
  <c r="J26" i="10"/>
  <c r="Z64" i="11"/>
  <c r="L26" i="10" s="1"/>
  <c r="Y68" i="11"/>
  <c r="O25" i="10" s="1"/>
  <c r="R25" i="10" l="1"/>
  <c r="N25" i="10"/>
  <c r="R163" i="11"/>
  <c r="S160" i="11" s="1"/>
  <c r="R155" i="11"/>
  <c r="S152" i="11" s="1"/>
  <c r="Z63" i="11"/>
  <c r="S154" i="11" l="1"/>
  <c r="S157" i="11" s="1"/>
  <c r="S162" i="11"/>
  <c r="K26" i="10"/>
  <c r="Z67" i="11"/>
  <c r="S155" i="11" l="1"/>
  <c r="T154" i="11" s="1"/>
  <c r="T157" i="11" s="1"/>
  <c r="S165" i="11"/>
  <c r="S163" i="11"/>
  <c r="T160" i="11" s="1"/>
  <c r="R26" i="10"/>
  <c r="M26" i="10"/>
  <c r="N26" i="10" s="1"/>
  <c r="N27" i="10" s="1"/>
  <c r="N28" i="10" s="1"/>
  <c r="N29" i="10" s="1"/>
  <c r="N30" i="10" s="1"/>
  <c r="N31" i="10" s="1"/>
  <c r="N32" i="10" s="1"/>
  <c r="N33" i="10" s="1"/>
  <c r="N34" i="10" s="1"/>
  <c r="N35" i="10" s="1"/>
  <c r="N36" i="10" s="1"/>
  <c r="AB68" i="11"/>
  <c r="AC68" i="11"/>
  <c r="AF68" i="11"/>
  <c r="Z68" i="11"/>
  <c r="O26" i="10" s="1"/>
  <c r="AJ68" i="11"/>
  <c r="D71" i="11"/>
  <c r="AI68" i="11"/>
  <c r="AH68" i="11"/>
  <c r="AD68" i="11"/>
  <c r="AE68" i="11"/>
  <c r="D72" i="11"/>
  <c r="AG68" i="11"/>
  <c r="AA68" i="11"/>
  <c r="T152" i="11" l="1"/>
  <c r="T155" i="11" s="1"/>
  <c r="U154" i="11" s="1"/>
  <c r="U157" i="11" s="1"/>
  <c r="T162" i="11"/>
  <c r="T165" i="11" s="1"/>
  <c r="G213" i="11"/>
  <c r="K213" i="11"/>
  <c r="O213" i="11"/>
  <c r="T163" i="11" l="1"/>
  <c r="U160" i="11" s="1"/>
  <c r="U162" i="11"/>
  <c r="U152" i="11"/>
  <c r="U155" i="11" s="1"/>
  <c r="V152" i="11" s="1"/>
  <c r="U163" i="11" l="1"/>
  <c r="V160" i="11" s="1"/>
  <c r="U165" i="11"/>
  <c r="V162" i="11"/>
  <c r="V165" i="11" s="1"/>
  <c r="V154" i="11"/>
  <c r="V157" i="11" s="1"/>
  <c r="V163" i="11" l="1"/>
  <c r="W160" i="11" s="1"/>
  <c r="V155" i="11"/>
  <c r="W162" i="11" s="1"/>
  <c r="W165" i="11" s="1"/>
  <c r="W163" i="11" l="1"/>
  <c r="X160" i="11" s="1"/>
  <c r="W154" i="11"/>
  <c r="W157" i="11" s="1"/>
  <c r="W152" i="11"/>
  <c r="W155" i="11" l="1"/>
  <c r="X152" i="11" s="1"/>
  <c r="X154" i="11" l="1"/>
  <c r="X157" i="11" s="1"/>
  <c r="X162" i="11"/>
  <c r="X165" i="11" s="1"/>
  <c r="X155" i="11" l="1"/>
  <c r="X163" i="11"/>
  <c r="Y160" i="11" s="1"/>
  <c r="Y154" i="11" l="1"/>
  <c r="Y157" i="11" s="1"/>
  <c r="Y162" i="11"/>
  <c r="Y152" i="11"/>
  <c r="Y165" i="11" l="1"/>
  <c r="Y163" i="11"/>
  <c r="Z160" i="11" s="1"/>
  <c r="Y155" i="11"/>
  <c r="Z154" i="11" l="1"/>
  <c r="Z157" i="11" s="1"/>
  <c r="Z162" i="11"/>
  <c r="Z152" i="11"/>
  <c r="Z163" i="11" l="1"/>
  <c r="AA160" i="11" s="1"/>
  <c r="Z165" i="11"/>
  <c r="Z155" i="11"/>
  <c r="AA154" i="11" l="1"/>
  <c r="AA157" i="11" s="1"/>
  <c r="AA162" i="11"/>
  <c r="AA152" i="11"/>
  <c r="AA165" i="11" l="1"/>
  <c r="AA163" i="11"/>
  <c r="AB160" i="11" s="1"/>
  <c r="AB163" i="11" s="1"/>
  <c r="AC160" i="11" s="1"/>
  <c r="AC163" i="11" s="1"/>
  <c r="AD160" i="11" s="1"/>
  <c r="AD163" i="11" s="1"/>
  <c r="AE160" i="11" s="1"/>
  <c r="AE163" i="11" s="1"/>
  <c r="AF160" i="11" s="1"/>
  <c r="AF163" i="11" s="1"/>
  <c r="AG160" i="11" s="1"/>
  <c r="AG163" i="11" s="1"/>
  <c r="AH160" i="11" s="1"/>
  <c r="AH163" i="11" s="1"/>
  <c r="AI160" i="11" s="1"/>
  <c r="AI163" i="11" s="1"/>
  <c r="AJ160" i="11" s="1"/>
  <c r="AJ163" i="11" s="1"/>
  <c r="AA155" i="11"/>
  <c r="AB152" i="11" s="1"/>
  <c r="AB155" i="11" s="1"/>
  <c r="AC152" i="11" s="1"/>
  <c r="AC155" i="11" s="1"/>
  <c r="AD152" i="11" s="1"/>
  <c r="AD155" i="11" s="1"/>
  <c r="AE152" i="11" s="1"/>
  <c r="AE155" i="11" s="1"/>
  <c r="AF152" i="11" s="1"/>
  <c r="AF155" i="11" s="1"/>
  <c r="AG152" i="11" s="1"/>
  <c r="AG155" i="11" s="1"/>
  <c r="AH152" i="11" s="1"/>
  <c r="AH155" i="11" s="1"/>
  <c r="AI152" i="11" s="1"/>
  <c r="AI155" i="11" s="1"/>
  <c r="AJ152" i="11" s="1"/>
  <c r="AJ155"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Jason Gifford</author>
  </authors>
  <commentList>
    <comment ref="D23" authorId="0" shapeId="0" xr:uid="{00000000-0006-0000-0000-000001000000}">
      <text>
        <r>
          <rPr>
            <b/>
            <sz val="14"/>
            <color indexed="81"/>
            <rFont val="Tahoma"/>
            <family val="2"/>
          </rPr>
          <t>Note:</t>
        </r>
        <r>
          <rPr>
            <sz val="14"/>
            <color indexed="81"/>
            <rFont val="Tahoma"/>
            <family val="2"/>
          </rPr>
          <t xml:space="preserve">
The user is strongly encouraged to review all of these comments in order to understand key features of the CREST model.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Jason Gifford</author>
    <author>Tyler Leeds</author>
  </authors>
  <commentList>
    <comment ref="C4" authorId="0" shapeId="0" xr:uid="{00000000-0006-0000-0100-000001000000}">
      <text>
        <r>
          <rPr>
            <sz val="14"/>
            <color indexed="81"/>
            <rFont val="Tahoma"/>
            <family val="2"/>
          </rPr>
          <t xml:space="preserve">The "Check" column evaluates whether or not values have been enterred in all required fields.  Green denotes an accepted entry in a required field or a calculation for which the minimum required precedents have been satisfied.  Red denotes the absence of an entry in a required field, or a calculation for which the minimum required precendents have NOT been satisfied.
</t>
        </r>
        <r>
          <rPr>
            <b/>
            <sz val="14"/>
            <color indexed="81"/>
            <rFont val="Tahoma"/>
            <family val="2"/>
          </rPr>
          <t>Please note</t>
        </r>
        <r>
          <rPr>
            <sz val="14"/>
            <color indexed="81"/>
            <rFont val="Tahoma"/>
            <family val="2"/>
          </rPr>
          <t xml:space="preserve"> that while the "Check" column ensures the population of all required fields, this column does NOT validate the magnitude of such entries.  It is the model user's responsibility to provide inputs which accurately represent the project being modeled.  In some cases, a range of typical values for a specified input are provided in that input's "Notes" cell.</t>
        </r>
      </text>
    </comment>
    <comment ref="I4" authorId="0" shapeId="0" xr:uid="{00000000-0006-0000-0100-000002000000}">
      <text>
        <r>
          <rPr>
            <sz val="14"/>
            <color indexed="81"/>
            <rFont val="Tahoma"/>
            <family val="2"/>
          </rPr>
          <t xml:space="preserve">Each cell in the "Notes" column provides a brief description of the input in the corresponding row, its application within the model, and (in some cases) the range of values that might be expected to populate that  input cell.  It is the model user's responsibility, however, to research and validate the applicability of, and appropriate value for, each input.
</t>
        </r>
        <r>
          <rPr>
            <sz val="8"/>
            <color indexed="81"/>
            <rFont val="Tahoma"/>
            <family val="2"/>
          </rPr>
          <t xml:space="preserve">
</t>
        </r>
      </text>
    </comment>
    <comment ref="M4" authorId="0" shapeId="0" xr:uid="{00000000-0006-0000-0100-000003000000}">
      <text>
        <r>
          <rPr>
            <sz val="14"/>
            <color indexed="81"/>
            <rFont val="Tahoma"/>
            <family val="2"/>
          </rPr>
          <t xml:space="preserve">The "Check" column evaluates whether or not values have been enterred in all required fields.  Green denotes an accepted entry in a required field or a calculation for which the minimum required precedents have been satisfied.  Red denotes the absence of an entry in a required field, or a calculation for which the minimum required precendents have NOT been satisfied.
</t>
        </r>
        <r>
          <rPr>
            <b/>
            <sz val="14"/>
            <color indexed="81"/>
            <rFont val="Tahoma"/>
            <family val="2"/>
          </rPr>
          <t>Please note</t>
        </r>
        <r>
          <rPr>
            <sz val="14"/>
            <color indexed="81"/>
            <rFont val="Tahoma"/>
            <family val="2"/>
          </rPr>
          <t xml:space="preserve"> that while the "Check" column ensures the population of all required fields, this column does NOT validate the magnitude of such entries.  It is the model user's responsibility to provide inputs which accurately represent the project being modeled.  In some cases, a range of typical values for a specified input are provided in that input's "Notes" cell.</t>
        </r>
      </text>
    </comment>
    <comment ref="S4" authorId="0" shapeId="0" xr:uid="{00000000-0006-0000-0100-000004000000}">
      <text>
        <r>
          <rPr>
            <sz val="14"/>
            <color indexed="81"/>
            <rFont val="Tahoma"/>
            <family val="2"/>
          </rPr>
          <t>Each cell in the "Notes" column provides a brief description of the input in the corresponding row, its application within the model, and (in some cases) the range of values that might be expected to populate that  input cell. It is the model user's responsibility, however, to research and validate the applicability of, and appropriate value for, each input.</t>
        </r>
        <r>
          <rPr>
            <sz val="8"/>
            <color indexed="81"/>
            <rFont val="Tahoma"/>
            <family val="2"/>
          </rPr>
          <t xml:space="preserve">
</t>
        </r>
      </text>
    </comment>
    <comment ref="F6" authorId="0" shapeId="0" xr:uid="{00000000-0006-0000-0100-000005000000}">
      <text>
        <r>
          <rPr>
            <b/>
            <sz val="8"/>
            <color indexed="81"/>
            <rFont val="Tahoma"/>
            <family val="2"/>
          </rPr>
          <t>See "unit" definitions at the bottom of this worksheet.</t>
        </r>
        <r>
          <rPr>
            <sz val="8"/>
            <color indexed="81"/>
            <rFont val="Tahoma"/>
            <family val="2"/>
          </rPr>
          <t xml:space="preserve">
</t>
        </r>
      </text>
    </comment>
    <comment ref="P6" authorId="0" shapeId="0" xr:uid="{00000000-0006-0000-0100-000006000000}">
      <text>
        <r>
          <rPr>
            <b/>
            <sz val="8"/>
            <color indexed="81"/>
            <rFont val="Tahoma"/>
            <family val="2"/>
          </rPr>
          <t>See "unit" definitions at the bottom of this worksheet.</t>
        </r>
        <r>
          <rPr>
            <sz val="8"/>
            <color indexed="81"/>
            <rFont val="Tahoma"/>
            <family val="2"/>
          </rPr>
          <t xml:space="preserve">
</t>
        </r>
      </text>
    </comment>
    <comment ref="I7" authorId="1" shapeId="0" xr:uid="{00000000-0006-0000-0100-000007000000}">
      <text>
        <r>
          <rPr>
            <b/>
            <sz val="14"/>
            <color indexed="81"/>
            <rFont val="Tahoma"/>
            <family val="2"/>
          </rPr>
          <t>Note:</t>
        </r>
        <r>
          <rPr>
            <sz val="14"/>
            <color indexed="81"/>
            <rFont val="Tahoma"/>
            <family val="2"/>
          </rPr>
          <t xml:space="preserve">
This is the aggregate nameplate rating for the entire generating facility.
Input must be greater than zero.
</t>
        </r>
      </text>
    </comment>
    <comment ref="S7" authorId="1" shapeId="0" xr:uid="{00000000-0006-0000-0100-000008000000}">
      <text>
        <r>
          <rPr>
            <b/>
            <sz val="14"/>
            <color indexed="81"/>
            <rFont val="Tahoma"/>
            <family val="2"/>
          </rPr>
          <t xml:space="preserve">Note:
</t>
        </r>
        <r>
          <rPr>
            <sz val="14"/>
            <color indexed="81"/>
            <rFont val="Tahoma"/>
            <family val="2"/>
          </rPr>
          <t xml:space="preserve">The FIT contract length is the number of years for which the rate specified by this model is available. This term is established by policymakers and must be less than or equal to the project's useful life.  
The contract duration is also different than the debt tenor (if applicable), which is specified in the Permanent Financing section below.
</t>
        </r>
      </text>
    </comment>
    <comment ref="I8" authorId="1" shapeId="0" xr:uid="{00000000-0006-0000-0100-000009000000}">
      <text>
        <r>
          <rPr>
            <b/>
            <sz val="14"/>
            <color indexed="81"/>
            <rFont val="Tahoma"/>
            <family val="2"/>
          </rPr>
          <t>Note:</t>
        </r>
        <r>
          <rPr>
            <sz val="14"/>
            <color indexed="81"/>
            <rFont val="Tahoma"/>
            <family val="2"/>
          </rPr>
          <t xml:space="preserve">
Capacity Factor is the % representation of the actual production vs. the theoretical maximum annual production of an energy project. This model requires the input of a </t>
        </r>
        <r>
          <rPr>
            <b/>
            <sz val="14"/>
            <color indexed="81"/>
            <rFont val="Tahoma"/>
            <family val="2"/>
          </rPr>
          <t>Net Capacity Factor</t>
        </r>
        <r>
          <rPr>
            <sz val="14"/>
            <color indexed="81"/>
            <rFont val="Tahoma"/>
            <family val="2"/>
          </rPr>
          <t xml:space="preserve">, meaning that the estimate of actual energy production should take into account all electricity losses (including those incurred between the generating facility and the contract delivery point), scheduled and unscheduled maintenance, forced outages, wake effects, icing, and any other factors that could reduce production.
Wind projects typically have a capacity factor between 25% and 40% depending on region and site-specific topography. 
Input must be between 0% and 100%.
</t>
        </r>
      </text>
    </comment>
    <comment ref="S8" authorId="1" shapeId="0" xr:uid="{00000000-0006-0000-0100-00000A000000}">
      <text>
        <r>
          <rPr>
            <b/>
            <sz val="14"/>
            <color indexed="81"/>
            <rFont val="Tahoma"/>
            <family val="2"/>
          </rPr>
          <t xml:space="preserve">Note:
</t>
        </r>
        <r>
          <rPr>
            <sz val="14"/>
            <color indexed="81"/>
            <rFont val="Tahoma"/>
            <family val="2"/>
          </rPr>
          <t xml:space="preserve">This is the portion (%) of the tariff which is subject to annual escalation.  
Program administrators may determine that some or all of the tariff rate should be escalated to reflect the uncertainty associated with the future cost of owning and operating an electricity generating facility. This input is separate from the inflation assumed to apply to certain O&amp;M expenses, which is provided as an input in the O&amp;M section below.
Input must be between 0% and 100%.
</t>
        </r>
      </text>
    </comment>
    <comment ref="I9" authorId="1" shapeId="0" xr:uid="{00000000-0006-0000-0100-00000B000000}">
      <text>
        <r>
          <rPr>
            <b/>
            <sz val="14"/>
            <color indexed="81"/>
            <rFont val="Tahoma"/>
            <family val="2"/>
          </rPr>
          <t>Note:</t>
        </r>
        <r>
          <rPr>
            <sz val="14"/>
            <color indexed="81"/>
            <rFont val="Tahoma"/>
            <family val="2"/>
          </rPr>
          <t xml:space="preserve">
This is a calculation, based on the system size and capacity factor provided above. 
</t>
        </r>
      </text>
    </comment>
    <comment ref="S9" authorId="1" shapeId="0" xr:uid="{00000000-0006-0000-0100-00000C000000}">
      <text>
        <r>
          <rPr>
            <b/>
            <sz val="14"/>
            <color indexed="81"/>
            <rFont val="Tahoma"/>
            <family val="2"/>
          </rPr>
          <t xml:space="preserve">Note:
</t>
        </r>
        <r>
          <rPr>
            <sz val="14"/>
            <color indexed="81"/>
            <rFont val="Tahoma"/>
            <family val="2"/>
          </rPr>
          <t xml:space="preserve">To calculate a </t>
        </r>
        <r>
          <rPr>
            <b/>
            <sz val="14"/>
            <color indexed="81"/>
            <rFont val="Tahoma"/>
            <family val="2"/>
          </rPr>
          <t>nominal levelized tariff rate</t>
        </r>
        <r>
          <rPr>
            <sz val="14"/>
            <color indexed="81"/>
            <rFont val="Tahoma"/>
            <family val="2"/>
          </rPr>
          <t xml:space="preserve">, the "feed-in tariff escalation rate" field should be </t>
        </r>
        <r>
          <rPr>
            <b/>
            <sz val="14"/>
            <color indexed="81"/>
            <rFont val="Tahoma"/>
            <family val="2"/>
          </rPr>
          <t>set to zero</t>
        </r>
        <r>
          <rPr>
            <sz val="14"/>
            <color indexed="81"/>
            <rFont val="Tahoma"/>
            <family val="2"/>
          </rPr>
          <t>.</t>
        </r>
        <r>
          <rPr>
            <b/>
            <sz val="14"/>
            <color indexed="81"/>
            <rFont val="Tahoma"/>
            <family val="2"/>
          </rPr>
          <t xml:space="preserve">
</t>
        </r>
        <r>
          <rPr>
            <sz val="14"/>
            <color indexed="81"/>
            <rFont val="Tahoma"/>
            <family val="2"/>
          </rPr>
          <t xml:space="preserve">Where applied, tariff rate escalation is intended to serve as a risk mitigating tool, at least partially protecting the project investor from the uncertainty associated with the future cost of owning and operating the renewable energy facility. The escalation rate can be used to assume a year over year increase in all, or a portion, of the per unit payment provided to eligible generators. This concept is separate from inflationary adjustments to future operating cost assumptions -- which are input below.
This rate is applied annually.  Note that in this model, calendar years and tariff years are aligned.
</t>
        </r>
        <r>
          <rPr>
            <b/>
            <sz val="14"/>
            <color indexed="81"/>
            <rFont val="Tahoma"/>
            <family val="2"/>
          </rPr>
          <t>Caution:</t>
        </r>
        <r>
          <rPr>
            <sz val="14"/>
            <color indexed="81"/>
            <rFont val="Tahoma"/>
            <family val="2"/>
          </rPr>
          <t xml:space="preserve"> A value must be entered into this cell in order for the model to function properly. The input can be positive or negative (if the FIT value decreases over time), and a typical value may fall between 0% and 5%.  
</t>
        </r>
      </text>
    </comment>
    <comment ref="I10" authorId="1" shapeId="0" xr:uid="{00000000-0006-0000-0100-00000D000000}">
      <text>
        <r>
          <rPr>
            <b/>
            <sz val="14"/>
            <color indexed="81"/>
            <rFont val="Tahoma"/>
            <family val="2"/>
          </rPr>
          <t>Note:</t>
        </r>
        <r>
          <rPr>
            <sz val="14"/>
            <color indexed="81"/>
            <rFont val="Tahoma"/>
            <family val="2"/>
          </rPr>
          <t xml:space="preserve">
The natural aging of the mechanical components of a wind turbine generator may lead to a drop in turbine availability (or efficiency), and therefore production, over time.  
This input allows the user to model the potential for such degradation, which may be between 0% and 2% per year.
</t>
        </r>
        <r>
          <rPr>
            <b/>
            <sz val="14"/>
            <color indexed="81"/>
            <rFont val="Tahoma"/>
            <family val="2"/>
          </rPr>
          <t>If the modeled "Net Capacity Factor" is intented to take long-term average availability into account, then the user may wish to enter 0% in the Annual Production Degradation field.</t>
        </r>
        <r>
          <rPr>
            <sz val="14"/>
            <color indexed="81"/>
            <rFont val="Tahoma"/>
            <family val="2"/>
          </rPr>
          <t xml:space="preserve">
Input must be =&gt; 0%.
</t>
        </r>
      </text>
    </comment>
    <comment ref="I11" authorId="1" shapeId="0" xr:uid="{00000000-0006-0000-0100-00000E000000}">
      <text>
        <r>
          <rPr>
            <b/>
            <sz val="14"/>
            <color indexed="81"/>
            <rFont val="Tahoma"/>
            <family val="2"/>
          </rPr>
          <t xml:space="preserve">Note:
</t>
        </r>
        <r>
          <rPr>
            <sz val="14"/>
            <color indexed="81"/>
            <rFont val="Tahoma"/>
            <family val="2"/>
          </rPr>
          <t xml:space="preserve">The Project Useful Life is the number of years that the project is expected to be fully operational, reliably delivering electricity to the grid, and generating revenue. This concept is different from the FIT Contract Length, which is administratively determined by policymakers. These two values may be the same if a FIT contract is offered for the project's entire expected useful life. This approach is likely to generate the lowest tariff rate, while successfully attracting investors to renewable energy projects.  
The CREST model is built for a maximum Project Useful Life of 30 years.
Input must be greater than 0 and less than or equal to 30.
</t>
        </r>
      </text>
    </comment>
    <comment ref="S11" authorId="1" shapeId="0" xr:uid="{00000000-0006-0000-0100-00000F000000}">
      <text>
        <r>
          <rPr>
            <b/>
            <sz val="14"/>
            <color indexed="81"/>
            <rFont val="Tahoma"/>
            <family val="2"/>
          </rPr>
          <t xml:space="preserve">Note:
</t>
        </r>
        <r>
          <rPr>
            <sz val="14"/>
            <color indexed="81"/>
            <rFont val="Tahoma"/>
            <family val="2"/>
          </rPr>
          <t>If the designated "FIT Contract Length" is less than the defined "Project Useful Life", then this grouping of inputs is used to calculate the project's market-based revenue during the period from FIT contract expiration to the end of the project's life.</t>
        </r>
        <r>
          <rPr>
            <b/>
            <sz val="14"/>
            <color indexed="81"/>
            <rFont val="Tahoma"/>
            <family val="2"/>
          </rPr>
          <t xml:space="preserve">
</t>
        </r>
        <r>
          <rPr>
            <sz val="14"/>
            <color indexed="81"/>
            <rFont val="Tahoma"/>
            <family val="2"/>
          </rPr>
          <t xml:space="preserve">
</t>
        </r>
      </text>
    </comment>
    <comment ref="S12" authorId="1" shapeId="0" xr:uid="{00000000-0006-0000-0100-000010000000}">
      <text>
        <r>
          <rPr>
            <b/>
            <sz val="14"/>
            <color indexed="81"/>
            <rFont val="Tahoma"/>
            <family val="2"/>
          </rPr>
          <t xml:space="preserve">Note:
</t>
        </r>
        <r>
          <rPr>
            <sz val="14"/>
            <color indexed="81"/>
            <rFont val="Tahoma"/>
            <family val="2"/>
          </rPr>
          <t>Selecting "Year One" forecasts the total market value of production based on an estimate of that value in the project's first year of commercial operation and a user-defined escalation rate.  
Selecting "Year-by-Year" enables the user to enter unique annual values for the period after the FIT expires and before the end of the project's useful life.</t>
        </r>
        <r>
          <rPr>
            <b/>
            <sz val="14"/>
            <color indexed="81"/>
            <rFont val="Tahoma"/>
            <family val="2"/>
          </rPr>
          <t xml:space="preserve">
</t>
        </r>
        <r>
          <rPr>
            <sz val="14"/>
            <color indexed="81"/>
            <rFont val="Tahoma"/>
            <family val="2"/>
          </rPr>
          <t xml:space="preserve">
</t>
        </r>
      </text>
    </comment>
    <comment ref="F13" authorId="0" shapeId="0" xr:uid="{00000000-0006-0000-0100-000011000000}">
      <text>
        <r>
          <rPr>
            <b/>
            <sz val="8"/>
            <color indexed="81"/>
            <rFont val="Tahoma"/>
            <family val="2"/>
          </rPr>
          <t>See "unit" definitions at the bottom of this worksheet.</t>
        </r>
        <r>
          <rPr>
            <sz val="8"/>
            <color indexed="81"/>
            <rFont val="Tahoma"/>
            <family val="2"/>
          </rPr>
          <t xml:space="preserve">
</t>
        </r>
      </text>
    </comment>
    <comment ref="S13" authorId="1" shapeId="0" xr:uid="{00000000-0006-0000-0100-000012000000}">
      <text>
        <r>
          <rPr>
            <b/>
            <sz val="14"/>
            <color indexed="81"/>
            <rFont val="Tahoma"/>
            <family val="2"/>
          </rPr>
          <t xml:space="preserve">Note:
</t>
        </r>
        <r>
          <rPr>
            <sz val="14"/>
            <color indexed="81"/>
            <rFont val="Tahoma"/>
            <family val="2"/>
          </rPr>
          <t xml:space="preserve">This is the </t>
        </r>
        <r>
          <rPr>
            <b/>
            <sz val="14"/>
            <color indexed="81"/>
            <rFont val="Tahoma"/>
            <family val="2"/>
          </rPr>
          <t>combined</t>
        </r>
        <r>
          <rPr>
            <sz val="14"/>
            <color indexed="81"/>
            <rFont val="Tahoma"/>
            <family val="2"/>
          </rPr>
          <t xml:space="preserve"> (or "bundled") market value of energy + capacity + Renewable Energy Credtis (RECs) in the same year in which the project's first enters commercial operation.
This input must be greater than zero.
</t>
        </r>
      </text>
    </comment>
    <comment ref="I14" authorId="1" shapeId="0" xr:uid="{00000000-0006-0000-0100-000013000000}">
      <text>
        <r>
          <rPr>
            <b/>
            <sz val="14"/>
            <color indexed="81"/>
            <rFont val="Tahoma"/>
            <family val="2"/>
          </rPr>
          <t>Note:</t>
        </r>
        <r>
          <rPr>
            <sz val="14"/>
            <color indexed="81"/>
            <rFont val="Tahoma"/>
            <family val="2"/>
          </rPr>
          <t xml:space="preserve">
This model alllows the user to input system cost at 1 of 3 levels of detail: "simple", "intermediate" or "complex." Simple offers a single input in $/kW, Intermediate offers five cost subcategories in total dollars, and Complex offers line-by-line project costing with user-defined categories and costs per line-item.  
Select your preferred method and use the cells below to enter your cost information. If you choose the "Complex" option, you will need to follow the link below to the "Complex Capital Costs" tab.</t>
        </r>
      </text>
    </comment>
    <comment ref="S14" authorId="1" shapeId="0" xr:uid="{00000000-0006-0000-0100-000014000000}">
      <text>
        <r>
          <rPr>
            <b/>
            <sz val="14"/>
            <color indexed="81"/>
            <rFont val="Tahoma"/>
            <family val="2"/>
          </rPr>
          <t xml:space="preserve">Note:
</t>
        </r>
        <r>
          <rPr>
            <sz val="14"/>
            <color indexed="81"/>
            <rFont val="Tahoma"/>
            <family val="2"/>
          </rPr>
          <t xml:space="preserve">When the "Year One" forecast methodology is selected, this is the user-defined escalation rate at which the market value of production is expected to change.
Input must be greater than zero.
</t>
        </r>
      </text>
    </comment>
    <comment ref="I15" authorId="1" shapeId="0" xr:uid="{00000000-0006-0000-0100-000015000000}">
      <text>
        <r>
          <rPr>
            <b/>
            <sz val="14"/>
            <color indexed="81"/>
            <rFont val="Tahoma"/>
            <family val="2"/>
          </rPr>
          <t>Note:</t>
        </r>
        <r>
          <rPr>
            <sz val="14"/>
            <color indexed="81"/>
            <rFont val="Tahoma"/>
            <family val="2"/>
          </rPr>
          <t xml:space="preserve">
When "Simple" is selected in the Cost Level of Detail cell, this "Total Installed Cost" row represents the total expected all-in project cost, which should include all hardware, balance of plant, interconnection, design, construction, permitting, development (including developer fee), interest during construction and financing costs. This figure should not account for any tax incentives, grants, or other cash incentives, each of which will be addressed elsewhere in the model. This figure should, however, reflect any applicable sales tax or exemptions thereof.
Input must be greater than zero.
</t>
        </r>
      </text>
    </comment>
    <comment ref="S15" authorId="1" shapeId="0" xr:uid="{00000000-0006-0000-0100-000016000000}">
      <text>
        <r>
          <rPr>
            <b/>
            <sz val="14"/>
            <color indexed="81"/>
            <rFont val="Tahoma"/>
            <family val="2"/>
          </rPr>
          <t xml:space="preserve">Note:
</t>
        </r>
        <r>
          <rPr>
            <sz val="14"/>
            <color indexed="81"/>
            <rFont val="Tahoma"/>
            <family val="2"/>
          </rPr>
          <t xml:space="preserve">When "Year-by-Year" market value of production forecast is selected, this link brings the user to another worksheet on which unique annual values may be entered.
</t>
        </r>
      </text>
    </comment>
    <comment ref="I16" authorId="1" shapeId="0" xr:uid="{00000000-0006-0000-0100-000017000000}">
      <text>
        <r>
          <rPr>
            <b/>
            <sz val="14"/>
            <color indexed="81"/>
            <rFont val="Tahoma"/>
            <family val="2"/>
          </rPr>
          <t>Note:</t>
        </r>
        <r>
          <rPr>
            <sz val="14"/>
            <color indexed="81"/>
            <rFont val="Tahoma"/>
            <family val="2"/>
          </rPr>
          <t xml:space="preserve">
"Generation Equipment" should include hardware such as the generator, blades and tower.  
Caution: the model assumes that if "Intermediate" is selected as the level of detail section, the "Generation Equipment" row must have a value greater than zero. 
</t>
        </r>
      </text>
    </comment>
    <comment ref="I17" authorId="1" shapeId="0" xr:uid="{00000000-0006-0000-0100-000018000000}">
      <text>
        <r>
          <rPr>
            <b/>
            <sz val="14"/>
            <color indexed="81"/>
            <rFont val="Tahoma"/>
            <family val="2"/>
          </rPr>
          <t>Note:</t>
        </r>
        <r>
          <rPr>
            <sz val="14"/>
            <color indexed="81"/>
            <rFont val="Tahoma"/>
            <family val="2"/>
          </rPr>
          <t xml:space="preserve">
Balance of Plant (also known as Balance of System) represents all infrastructure, site prep and labor supporting the installation of the generation equipment. BOP costs include foundations, mounting devices, other hardware, and labor not already accounted for in the "Generation Equipment" row.
Input cannot be less than zero.
</t>
        </r>
      </text>
    </comment>
    <comment ref="P17" authorId="0" shapeId="0" xr:uid="{00000000-0006-0000-0100-000019000000}">
      <text>
        <r>
          <rPr>
            <b/>
            <sz val="8"/>
            <color indexed="81"/>
            <rFont val="Tahoma"/>
            <family val="2"/>
          </rPr>
          <t>See "unit" definitions at the bottom of this worksheet.</t>
        </r>
        <r>
          <rPr>
            <sz val="8"/>
            <color indexed="81"/>
            <rFont val="Tahoma"/>
            <family val="2"/>
          </rPr>
          <t xml:space="preserve">
</t>
        </r>
      </text>
    </comment>
    <comment ref="I18" authorId="1" shapeId="0" xr:uid="{00000000-0006-0000-0100-00001A000000}">
      <text>
        <r>
          <rPr>
            <b/>
            <sz val="14"/>
            <color indexed="81"/>
            <rFont val="Tahoma"/>
            <family val="2"/>
          </rPr>
          <t>Note:</t>
        </r>
        <r>
          <rPr>
            <sz val="14"/>
            <color indexed="81"/>
            <rFont val="Tahoma"/>
            <family val="2"/>
          </rPr>
          <t xml:space="preserve">
The "Interconnection" row should account for all project costs relating to connecting to the grid, such as the construction of transmission lines, permitting costs with the utility, and start-up costs. This category will also include the cost of a new substation, if necessary.
Regulators wishing to explore the potential that interconnection costs may be recovered from ratepayers separately can elect to enter zeros in this cost category whenever "Intermediate" or "Complex" is selected.
Input cannot be less than zero.
</t>
        </r>
      </text>
    </comment>
    <comment ref="S18" authorId="0" shapeId="0" xr:uid="{00000000-0006-0000-0100-00001B000000}">
      <text>
        <r>
          <rPr>
            <b/>
            <sz val="14"/>
            <color indexed="81"/>
            <rFont val="Tahoma"/>
            <family val="2"/>
          </rPr>
          <t xml:space="preserve">Note:
</t>
        </r>
        <r>
          <rPr>
            <sz val="14"/>
            <color indexed="81"/>
            <rFont val="Tahoma"/>
            <family val="2"/>
          </rPr>
          <t>This drop-down input cell allows the user to specify whether federal incentives are cost-based (e.g. an investment tax credit) or performance-based (e.g. a PTC). The magnitude and terms of these incentives are set in the cells below.
For more information, a useful resource for researching federal and state incentives online is:  
http://dsireusa.org/
*See bottom of introduction page for a list of links</t>
        </r>
      </text>
    </comment>
    <comment ref="I19" authorId="1" shapeId="0" xr:uid="{00000000-0006-0000-0100-00001C000000}">
      <text>
        <r>
          <rPr>
            <b/>
            <sz val="14"/>
            <color indexed="81"/>
            <rFont val="Tahoma"/>
            <family val="2"/>
          </rPr>
          <t>Note:</t>
        </r>
        <r>
          <rPr>
            <sz val="8"/>
            <color indexed="81"/>
            <rFont val="Tahoma"/>
            <family val="2"/>
          </rPr>
          <t xml:space="preserve">
</t>
        </r>
        <r>
          <rPr>
            <sz val="14"/>
            <color indexed="81"/>
            <rFont val="Tahoma"/>
            <family val="2"/>
          </rPr>
          <t xml:space="preserve">The "Development Costs" row should include all costs relating to project management, studies, engineering, permitting, contingencies, success fees, and other soft costs not accounted for elsewhere in the "Intermediate" cost breakdown. 
Input cannot be less than zero.
</t>
        </r>
      </text>
    </comment>
    <comment ref="S19" authorId="1" shapeId="0" xr:uid="{00000000-0006-0000-0100-00001D000000}">
      <text>
        <r>
          <rPr>
            <b/>
            <sz val="14"/>
            <color indexed="81"/>
            <rFont val="Tahoma"/>
            <family val="2"/>
          </rPr>
          <t xml:space="preserve">Note:
</t>
        </r>
        <r>
          <rPr>
            <sz val="14"/>
            <color indexed="81"/>
            <rFont val="Tahoma"/>
            <family val="2"/>
          </rPr>
          <t>Some renewable energy projects may be eligible to take advantage of Federal incentives such as the Investment Tax Credit or a cash payment from the Treasury Grant in lieu of the ITC (under Section 1603). 
The CREST model assumes that the ITC or Section 1603 cash grant, as applicable, flows to the project's equity provider in the first commercial operation year - rather than reducing the project's assumed initial installed cost.  The exception to this rule occurs when "carried forward" is selected in the Tax section.  In this case, net operating losses are rolled forward while the tax benefits are used internally by the project.
Information on eligibility for funding opportunities such as these is available online at:
http://dsireusa.org/incentives/incentive.cfm?Incentive_Code=US02F&amp;re=1&amp;ee=1
*See bottom of introduction page for a list of links</t>
        </r>
        <r>
          <rPr>
            <b/>
            <sz val="14"/>
            <color indexed="81"/>
            <rFont val="Tahoma"/>
            <family val="2"/>
          </rPr>
          <t xml:space="preserve">
</t>
        </r>
        <r>
          <rPr>
            <sz val="14"/>
            <color indexed="81"/>
            <rFont val="Tahoma"/>
            <family val="2"/>
          </rPr>
          <t xml:space="preserve">
</t>
        </r>
      </text>
    </comment>
    <comment ref="I20" authorId="1" shapeId="0" xr:uid="{00000000-0006-0000-0100-00001E000000}">
      <text>
        <r>
          <rPr>
            <b/>
            <sz val="14"/>
            <color indexed="81"/>
            <rFont val="Tahoma"/>
            <family val="2"/>
          </rPr>
          <t>Note:</t>
        </r>
        <r>
          <rPr>
            <sz val="14"/>
            <color indexed="81"/>
            <rFont val="Tahoma"/>
            <family val="2"/>
          </rPr>
          <t xml:space="preserve">
The "Reserves &amp; Financing Costs" row accounts for all costs relating to financing, such as lender fees, closing costs, legal fees, interest during construction, due diligence costs, and any other relevant, financing relating costs. The model calculates this field by aggregating G22 through G25, G51, G54, G63, G66, Q57 and Q60.
</t>
        </r>
      </text>
    </comment>
    <comment ref="S20" authorId="0" shapeId="0" xr:uid="{00000000-0006-0000-0100-00001F000000}">
      <text>
        <r>
          <rPr>
            <b/>
            <sz val="14"/>
            <color indexed="81"/>
            <rFont val="Tahoma"/>
            <family val="2"/>
          </rPr>
          <t xml:space="preserve">NOTE:
</t>
        </r>
        <r>
          <rPr>
            <sz val="14"/>
            <color indexed="81"/>
            <rFont val="Tahoma"/>
            <family val="2"/>
          </rPr>
          <t xml:space="preserve">The maximum potential Investment Tax Credit (ITC) benefit is assumed to be 30% of those project costs which are depreciable on the 5-year MACRS schedule.  This 'eligible costs' assumption is purposefully simplified for this analysis.  Project costs depreciated on other bases may also be eligible for the ITC.  Developers should consult with tax counsel for project-specific depreciation and ITC treatment of each project cost.
</t>
        </r>
        <r>
          <rPr>
            <sz val="8"/>
            <color indexed="81"/>
            <rFont val="Tahoma"/>
            <family val="2"/>
          </rPr>
          <t xml:space="preserve">
</t>
        </r>
      </text>
    </comment>
    <comment ref="I21" authorId="1" shapeId="0" xr:uid="{00000000-0006-0000-0100-000020000000}">
      <text>
        <r>
          <rPr>
            <b/>
            <sz val="14"/>
            <color indexed="81"/>
            <rFont val="Tahoma"/>
            <family val="2"/>
          </rPr>
          <t>Note:</t>
        </r>
        <r>
          <rPr>
            <sz val="14"/>
            <color indexed="81"/>
            <rFont val="Tahoma"/>
            <family val="2"/>
          </rPr>
          <t xml:space="preserve">
If you wish to enter your project costs under the "Complex" format, select Complex from the drop-down menu and use the link to the left to access additional worksheets which provide the opportunitiy to add significant, additional detail on project costs. Once complete, the model will roll up the detailed costs and populate this row with the resultant final project cost. </t>
        </r>
      </text>
    </comment>
    <comment ref="I22" authorId="1" shapeId="0" xr:uid="{00000000-0006-0000-0100-000021000000}">
      <text>
        <r>
          <rPr>
            <b/>
            <sz val="14"/>
            <color indexed="81"/>
            <rFont val="Tahoma"/>
            <family val="2"/>
          </rPr>
          <t>Note:</t>
        </r>
        <r>
          <rPr>
            <sz val="14"/>
            <color indexed="81"/>
            <rFont val="Tahoma"/>
            <family val="2"/>
          </rPr>
          <t xml:space="preserve">
The total system cost is a calculation, based on the level of detail selected and the assocated inputs.
</t>
        </r>
      </text>
    </comment>
    <comment ref="S22" authorId="0" shapeId="0" xr:uid="{00000000-0006-0000-0100-000022000000}">
      <text>
        <r>
          <rPr>
            <b/>
            <sz val="14"/>
            <color indexed="81"/>
            <rFont val="Tahoma"/>
            <family val="2"/>
          </rPr>
          <t xml:space="preserve">Note:
</t>
        </r>
        <r>
          <rPr>
            <sz val="14"/>
            <color indexed="81"/>
            <rFont val="Tahoma"/>
            <family val="2"/>
          </rPr>
          <t xml:space="preserve">Calculates the dollar value of the Investment Tax Credit or Cash Grant, if applicable.
</t>
        </r>
      </text>
    </comment>
    <comment ref="I23" authorId="1" shapeId="0" xr:uid="{00000000-0006-0000-0100-000023000000}">
      <text>
        <r>
          <rPr>
            <b/>
            <sz val="14"/>
            <color indexed="81"/>
            <rFont val="Tahoma"/>
            <family val="2"/>
          </rPr>
          <t>Note:</t>
        </r>
        <r>
          <rPr>
            <sz val="14"/>
            <color indexed="81"/>
            <rFont val="Tahoma"/>
            <family val="2"/>
          </rPr>
          <t xml:space="preserve">
Calculation based on the total system cost in the cell above and the system size reported. Typical costs (as of 2010) fall between $2,000/kW and $3,000/kW.</t>
        </r>
        <r>
          <rPr>
            <sz val="8"/>
            <color indexed="81"/>
            <rFont val="Tahoma"/>
            <family val="2"/>
          </rPr>
          <t xml:space="preserve">
</t>
        </r>
      </text>
    </comment>
    <comment ref="S23" authorId="0" shapeId="0" xr:uid="{00000000-0006-0000-0100-000024000000}">
      <text>
        <r>
          <rPr>
            <b/>
            <sz val="14"/>
            <color indexed="81"/>
            <rFont val="Tahoma"/>
            <family val="2"/>
          </rPr>
          <t xml:space="preserve">Note: </t>
        </r>
        <r>
          <rPr>
            <sz val="14"/>
            <color indexed="81"/>
            <rFont val="Tahoma"/>
            <family val="2"/>
          </rPr>
          <t xml:space="preserve">
This input cell, the "Performance Based Incentive" or "PBI" is another potential incentive available to some specific projects. The PBI would be separate from a feed-in-tariff, but acts similarly in that it is per unit of production (typically kWh) income to a project.
Some examples of PBIs include the Federal Production Tax Credit (applicable to private projects with tax appetites) and the Federal Renewable Energy Production Incentive (REPI), historically available to some public projects.
</t>
        </r>
      </text>
    </comment>
    <comment ref="S24" authorId="0" shapeId="0" xr:uid="{00000000-0006-0000-0100-000025000000}">
      <text>
        <r>
          <rPr>
            <b/>
            <sz val="14"/>
            <color indexed="81"/>
            <rFont val="Tahoma"/>
            <family val="2"/>
          </rPr>
          <t xml:space="preserve">Note: </t>
        </r>
        <r>
          <rPr>
            <sz val="14"/>
            <color indexed="81"/>
            <rFont val="Tahoma"/>
            <family val="2"/>
          </rPr>
          <t xml:space="preserve">
This cell denotes the value of the Performance Based Incentive applicable to the project's first year of commercial operation. In some cases, this value will need to be calculated external to the model if such PBI is derived from a "base year" and specified inflation index. The following cells can be used to account for inflation and the maximum term of eligibility.
Input cannot be less than zero.
</t>
        </r>
      </text>
    </comment>
    <comment ref="F25" authorId="0" shapeId="0" xr:uid="{00000000-0006-0000-0100-000026000000}">
      <text>
        <r>
          <rPr>
            <b/>
            <sz val="8"/>
            <color indexed="81"/>
            <rFont val="Tahoma"/>
            <family val="2"/>
          </rPr>
          <t>See "unit" definitions at the bottom of this worksheet.</t>
        </r>
        <r>
          <rPr>
            <sz val="8"/>
            <color indexed="81"/>
            <rFont val="Tahoma"/>
            <family val="2"/>
          </rPr>
          <t xml:space="preserve">
</t>
        </r>
      </text>
    </comment>
    <comment ref="I26" authorId="0" shapeId="0" xr:uid="{00000000-0006-0000-0100-000027000000}">
      <text>
        <r>
          <rPr>
            <b/>
            <sz val="14"/>
            <color indexed="81"/>
            <rFont val="Tahoma"/>
            <family val="2"/>
          </rPr>
          <t>Note:</t>
        </r>
        <r>
          <rPr>
            <sz val="14"/>
            <color indexed="81"/>
            <rFont val="Tahoma"/>
            <family val="2"/>
          </rPr>
          <t xml:space="preserve">
Select either "Simple" or "Intermediate" O&amp;M expense detail using the drop-down menu to the right.
</t>
        </r>
        <r>
          <rPr>
            <sz val="8"/>
            <color indexed="81"/>
            <rFont val="Tahoma"/>
            <family val="2"/>
          </rPr>
          <t xml:space="preserve">
</t>
        </r>
      </text>
    </comment>
    <comment ref="S26" authorId="0" shapeId="0" xr:uid="{00000000-0006-0000-0100-000028000000}">
      <text>
        <r>
          <rPr>
            <b/>
            <sz val="14"/>
            <color indexed="81"/>
            <rFont val="Tahoma"/>
            <family val="2"/>
          </rPr>
          <t>Note:</t>
        </r>
        <r>
          <rPr>
            <sz val="14"/>
            <color indexed="81"/>
            <rFont val="Tahoma"/>
            <family val="2"/>
          </rPr>
          <t xml:space="preserve">
This is the length of time that a project would be eligible for any Performance Based Incentives outlined in the cell immediately above. For example, the Federal Renewable Energy Production Incentive and Production Tax Credit incentives are available for the first 10 years of project operation.
Input cannot be less than zero.
</t>
        </r>
      </text>
    </comment>
    <comment ref="I27" authorId="1" shapeId="0" xr:uid="{00000000-0006-0000-0100-000029000000}">
      <text>
        <r>
          <rPr>
            <b/>
            <sz val="14"/>
            <color indexed="81"/>
            <rFont val="Tahoma"/>
            <family val="2"/>
          </rPr>
          <t>Note:</t>
        </r>
        <r>
          <rPr>
            <sz val="14"/>
            <color indexed="81"/>
            <rFont val="Tahoma"/>
            <family val="2"/>
          </rPr>
          <t xml:space="preserve">
If "Simple" is selected in the cell above, then this input should reflect the </t>
        </r>
        <r>
          <rPr>
            <b/>
            <u/>
            <sz val="14"/>
            <color indexed="81"/>
            <rFont val="Tahoma"/>
            <family val="2"/>
          </rPr>
          <t>total</t>
        </r>
        <r>
          <rPr>
            <sz val="14"/>
            <color indexed="81"/>
            <rFont val="Tahoma"/>
            <family val="2"/>
          </rPr>
          <t xml:space="preserve"> expected </t>
        </r>
        <r>
          <rPr>
            <b/>
            <u/>
            <sz val="14"/>
            <color indexed="81"/>
            <rFont val="Tahoma"/>
            <family val="2"/>
          </rPr>
          <t>fixed</t>
        </r>
        <r>
          <rPr>
            <sz val="14"/>
            <color indexed="81"/>
            <rFont val="Tahoma"/>
            <family val="2"/>
          </rPr>
          <t xml:space="preserve"> cost of project operations and maintenance, in $/kW-yr.  This </t>
        </r>
        <r>
          <rPr>
            <u/>
            <sz val="14"/>
            <color indexed="81"/>
            <rFont val="Tahoma"/>
            <family val="2"/>
          </rPr>
          <t>includes</t>
        </r>
        <r>
          <rPr>
            <sz val="14"/>
            <color indexed="81"/>
            <rFont val="Tahoma"/>
            <family val="2"/>
          </rPr>
          <t xml:space="preserve"> the insurance, project management, property tax (or payment in lieu thereof), land lease, and royalty expenses which would have been broken out separately in the "Intermediate" case.  Other labor and spare parts should also be included in this estimate.
If the user has obtained O&amp;M expense estimates from a third-party, it is critical to understand which costs have been included.  If the user is not certain that all of the above-listed expenses are included in the fixed cost estimate, then the "Intermediate" approach should be used and these expenses should be entered separately.
If "Intermediate" is selected, then this input should reflect  the expected annual fixed O&amp;M cost before taking into account the additional listed expenses, which are entered below. 
In all cases, fixed O&amp;M would include - among others - the ongoing cost of obtaining daily, weekly or monthly production estimates based on weather and other factors.
Input value must be greater than zero. 
</t>
        </r>
      </text>
    </comment>
    <comment ref="S27" authorId="0" shapeId="0" xr:uid="{00000000-0006-0000-0100-00002A000000}">
      <text>
        <r>
          <rPr>
            <b/>
            <sz val="14"/>
            <color indexed="81"/>
            <rFont val="Tahoma"/>
            <family val="2"/>
          </rPr>
          <t xml:space="preserve">Note:
</t>
        </r>
        <r>
          <rPr>
            <sz val="14"/>
            <color indexed="81"/>
            <rFont val="Tahoma"/>
            <family val="2"/>
          </rPr>
          <t xml:space="preserve">Performance Based Incentives are often adjusted to account for inflation. For example, the Federal Production Tax Credit (PTC) is adjusted each year to account for changes in the GDP IPD index. This cell can be used as a proxy for the inflation that would apply to any PBI incentive entered above.
This input cannot be left blank.
</t>
        </r>
        <r>
          <rPr>
            <sz val="8"/>
            <color indexed="81"/>
            <rFont val="Tahoma"/>
            <family val="2"/>
          </rPr>
          <t xml:space="preserve">
</t>
        </r>
      </text>
    </comment>
    <comment ref="I28" authorId="1" shapeId="0" xr:uid="{00000000-0006-0000-0100-00002B000000}">
      <text>
        <r>
          <rPr>
            <b/>
            <sz val="14"/>
            <color indexed="81"/>
            <rFont val="Tahoma"/>
            <family val="2"/>
          </rPr>
          <t>Note:</t>
        </r>
        <r>
          <rPr>
            <sz val="14"/>
            <color indexed="81"/>
            <rFont val="Tahoma"/>
            <family val="2"/>
          </rPr>
          <t xml:space="preserve">
This cell provides the user with the option of accounting for O&amp;M expenses (such as labor and spare parts) which are more easily estimated and modeled on a variable, cents per kWh basis.  
If "Simple" is selected above, then this cell should also take into account variable costs, such as royalties, </t>
        </r>
        <r>
          <rPr>
            <b/>
            <u/>
            <sz val="14"/>
            <color indexed="81"/>
            <rFont val="Tahoma"/>
            <family val="2"/>
          </rPr>
          <t>if</t>
        </r>
        <r>
          <rPr>
            <sz val="14"/>
            <color indexed="81"/>
            <rFont val="Tahoma"/>
            <family val="2"/>
          </rPr>
          <t xml:space="preserve"> such annual expenses are not already accounted for in the fixed cost input above.
Input cannot be less than zero.
</t>
        </r>
      </text>
    </comment>
    <comment ref="S28" authorId="1" shapeId="0" xr:uid="{00000000-0006-0000-0100-00002C000000}">
      <text>
        <r>
          <rPr>
            <b/>
            <sz val="14"/>
            <color indexed="81"/>
            <rFont val="Tahoma"/>
            <family val="2"/>
          </rPr>
          <t xml:space="preserve">Note:
</t>
        </r>
        <r>
          <rPr>
            <sz val="14"/>
            <color indexed="81"/>
            <rFont val="Tahoma"/>
            <family val="2"/>
          </rPr>
          <t xml:space="preserve">Some renewable energy projects may be eligible for other federal grants as well, such as funding from the U.S. Department of Agriculture. This input cell can be used to capture those funding opportunities, some of which are outlined online at:
http://dsireusa.org/incentives/index.cfm?state=us&amp;re=1&amp;EE=1
*See bottom of introduction page for a list of links
Input cannot be less than zero.
</t>
        </r>
      </text>
    </comment>
    <comment ref="I29" authorId="0" shapeId="0" xr:uid="{00000000-0006-0000-0100-00002D000000}">
      <text>
        <r>
          <rPr>
            <b/>
            <sz val="14"/>
            <color indexed="81"/>
            <rFont val="Tahoma"/>
            <family val="2"/>
          </rPr>
          <t>Note:</t>
        </r>
        <r>
          <rPr>
            <sz val="14"/>
            <color indexed="81"/>
            <rFont val="Tahoma"/>
            <family val="2"/>
          </rPr>
          <t xml:space="preserve">
This inflation rate applies to both fixed and variable O&amp;M expense, insurance, and project management costs entered above, if applicable. 
The model allows the user to specify an inflation assumption for an "initial period" and a second inflation assumption "thereafter." These inputs can be used to account for inflation which might be fixed during an initial O&amp;M service contract, but are unknown thereafter.  The final year of the "initial period" is  user-defined (e.g. final year of an O&amp;M service contract). 
The purpose of this feature is also to recognize that inflationary trends may change over time, or that some projects may not expect inflation of O&amp;M expenses for the first several years, but may expect inflation thereafter.
This inflation rate does not apply to PILOT or Royalty costs. Input cannot be less than zero.
</t>
        </r>
      </text>
    </comment>
    <comment ref="S29" authorId="0" shapeId="0" xr:uid="{00000000-0006-0000-0100-00002E000000}">
      <text>
        <r>
          <rPr>
            <b/>
            <sz val="14"/>
            <color indexed="81"/>
            <rFont val="Tahoma"/>
            <family val="2"/>
          </rPr>
          <t xml:space="preserve">Note:
</t>
        </r>
        <r>
          <rPr>
            <sz val="14"/>
            <color indexed="81"/>
            <rFont val="Tahoma"/>
            <family val="2"/>
          </rPr>
          <t xml:space="preserve">Select here whether federal grants (other than the section 1603 payment in lieu of the ITC/PTC) are treated as taxable income. If no, depreciation basis is reduced. 
</t>
        </r>
      </text>
    </comment>
    <comment ref="I30" authorId="0" shapeId="0" xr:uid="{00000000-0006-0000-0100-00002F000000}">
      <text>
        <r>
          <rPr>
            <b/>
            <sz val="14"/>
            <color indexed="81"/>
            <rFont val="Tahoma"/>
            <family val="2"/>
          </rPr>
          <t xml:space="preserve">Note:
</t>
        </r>
        <r>
          <rPr>
            <sz val="14"/>
            <color indexed="81"/>
            <rFont val="Tahoma"/>
            <family val="2"/>
          </rPr>
          <t xml:space="preserve">This feature allows the user to assume that the rate at which expenses change over time is not constant. This cell provides the year in which the first inflation period ends.
Input cannot be less than zero.
</t>
        </r>
      </text>
    </comment>
    <comment ref="I31" authorId="0" shapeId="0" xr:uid="{00000000-0006-0000-0100-000030000000}">
      <text>
        <r>
          <rPr>
            <b/>
            <sz val="14"/>
            <color indexed="81"/>
            <rFont val="Tahoma"/>
            <family val="2"/>
          </rPr>
          <t xml:space="preserve">Note:
</t>
        </r>
        <r>
          <rPr>
            <sz val="14"/>
            <color indexed="81"/>
            <rFont val="Tahoma"/>
            <family val="2"/>
          </rPr>
          <t xml:space="preserve">This cell provides the inflation rate for the remainder of the project's useful life.
Input must be greater than zero.
</t>
        </r>
      </text>
    </comment>
    <comment ref="P31" authorId="0" shapeId="0" xr:uid="{00000000-0006-0000-0100-000031000000}">
      <text>
        <r>
          <rPr>
            <b/>
            <sz val="8"/>
            <color indexed="81"/>
            <rFont val="Tahoma"/>
            <family val="2"/>
          </rPr>
          <t>See "unit" definitions at the bottom of this worksheet.</t>
        </r>
        <r>
          <rPr>
            <sz val="8"/>
            <color indexed="81"/>
            <rFont val="Tahoma"/>
            <family val="2"/>
          </rPr>
          <t xml:space="preserve">
</t>
        </r>
      </text>
    </comment>
    <comment ref="I32" authorId="1" shapeId="0" xr:uid="{00000000-0006-0000-0100-000032000000}">
      <text>
        <r>
          <rPr>
            <b/>
            <sz val="14"/>
            <color indexed="81"/>
            <rFont val="Tahoma"/>
            <family val="2"/>
          </rPr>
          <t xml:space="preserve">Note:
</t>
        </r>
        <r>
          <rPr>
            <sz val="14"/>
            <color indexed="81"/>
            <rFont val="Tahoma"/>
            <family val="2"/>
          </rPr>
          <t xml:space="preserve">Project owners, or hosts, are required to carry insurance. This input accounts for the estimated cost of insuring the modeled power generating facility.
Input cannot be less than zero.
</t>
        </r>
      </text>
    </comment>
    <comment ref="S32" authorId="1" shapeId="0" xr:uid="{00000000-0006-0000-0100-000033000000}">
      <text>
        <r>
          <rPr>
            <b/>
            <sz val="14"/>
            <color indexed="81"/>
            <rFont val="Tahoma"/>
            <family val="2"/>
          </rPr>
          <t xml:space="preserve">Note:
</t>
        </r>
        <r>
          <rPr>
            <sz val="14"/>
            <color indexed="81"/>
            <rFont val="Tahoma"/>
            <family val="2"/>
          </rPr>
          <t>This drop-down input cell allows the user to specify whether state, utility, or other local incentives are cost-based (e.g. an investment tax credit) or performance-based (e.g. a PTC, Renewable Energy Credit (REC) or other cash payment). If no state incentive is available or useable by the modeled project, the user will select "Neither." The magnitude and terms of these incentives are set in the cells below.
For more information, a useful resource for researching federal and state incentives online is:  
http://dsireusa.org/
*See bottom of introduction page for a list of links</t>
        </r>
      </text>
    </comment>
    <comment ref="I33" authorId="0" shapeId="0" xr:uid="{00000000-0006-0000-0100-000034000000}">
      <text>
        <r>
          <rPr>
            <b/>
            <sz val="14"/>
            <color indexed="81"/>
            <rFont val="Tahoma"/>
            <family val="2"/>
          </rPr>
          <t xml:space="preserve">Note:
</t>
        </r>
        <r>
          <rPr>
            <sz val="14"/>
            <color indexed="81"/>
            <rFont val="Tahoma"/>
            <family val="2"/>
          </rPr>
          <t xml:space="preserve">This cell calculates the resulting dollar value cost of insurance based on the input above and the project installed cost (net of financing costs).  It is provided simply as a reference for the user.
</t>
        </r>
        <r>
          <rPr>
            <sz val="8"/>
            <color indexed="81"/>
            <rFont val="Tahoma"/>
            <family val="2"/>
          </rPr>
          <t xml:space="preserve">
</t>
        </r>
      </text>
    </comment>
    <comment ref="S33" authorId="0" shapeId="0" xr:uid="{00000000-0006-0000-0100-000035000000}">
      <text>
        <r>
          <rPr>
            <b/>
            <sz val="14"/>
            <color indexed="81"/>
            <rFont val="Tahoma"/>
            <family val="2"/>
          </rPr>
          <t xml:space="preserve">NOTE:
</t>
        </r>
        <r>
          <rPr>
            <sz val="14"/>
            <color indexed="81"/>
            <rFont val="Tahoma"/>
            <family val="2"/>
          </rPr>
          <t>The maximum potential Investment Tax Credit (ITC) benefit is assumed to be 30% of those project costs which are depreciable on the 5-year MACRS schedule.
Note that the state investment tax credit can only be applied to state-specific income tax liability.</t>
        </r>
      </text>
    </comment>
    <comment ref="I34" authorId="1" shapeId="0" xr:uid="{00000000-0006-0000-0100-000036000000}">
      <text>
        <r>
          <rPr>
            <b/>
            <sz val="14"/>
            <color indexed="81"/>
            <rFont val="Tahoma"/>
            <family val="2"/>
          </rPr>
          <t>Note:</t>
        </r>
        <r>
          <rPr>
            <sz val="14"/>
            <color indexed="81"/>
            <rFont val="Tahoma"/>
            <family val="2"/>
          </rPr>
          <t xml:space="preserve">
"Project Management" accounts for the cost of staff time related to managing the project's Power Purchase Agreements, grid integration, and periodic reporting to the system operator and policymakers.  
Input cannot be less than zero.
</t>
        </r>
      </text>
    </comment>
    <comment ref="I35" authorId="1" shapeId="0" xr:uid="{00000000-0006-0000-0100-000037000000}">
      <text>
        <r>
          <rPr>
            <b/>
            <sz val="14"/>
            <color indexed="81"/>
            <rFont val="Tahoma"/>
            <family val="2"/>
          </rPr>
          <t xml:space="preserve">Note:
</t>
        </r>
        <r>
          <rPr>
            <sz val="14"/>
            <color indexed="81"/>
            <rFont val="Tahoma"/>
            <family val="2"/>
          </rPr>
          <t xml:space="preserve">"Property Tax or PILOT" accounts for costs associated with any local taxes incurred by the project. Many states offer tax exemptions for renewable energy systems; to check your local applicability, please visit: http://dsireusa.org/ 
This line can also be used to account for any PILOTs or Payment in Leiu of Taxes. Developers often negotiate a PILOT with the local community to secure a fixed, predictable payment that serves both parties appropriately. This model allows the user to input a year-one Property Tax or PILOT value along with an annual property tax adjsutment factor (see next cell down). As a result, taxes can be modeled as flat, increasing, or decreasing annually depending on the value entered in the adjustment factor cell below.
Input cannot be less than zero.
</t>
        </r>
      </text>
    </comment>
    <comment ref="S35" authorId="0" shapeId="0" xr:uid="{00000000-0006-0000-0100-000038000000}">
      <text>
        <r>
          <rPr>
            <b/>
            <sz val="14"/>
            <color indexed="81"/>
            <rFont val="Tahoma"/>
            <family val="2"/>
          </rPr>
          <t xml:space="preserve">Note:
</t>
        </r>
        <r>
          <rPr>
            <sz val="14"/>
            <color indexed="81"/>
            <rFont val="Tahoma"/>
            <family val="2"/>
          </rPr>
          <t>Specifies whether the available ITC is realized in a single year or over multiple years. This input will be specified by state-specific law or regulation.
A good resource on available state incentives is:  
http://dsireusa.org/
*See bottom of introduction page for a list of links
Input must be greater than 1 and less than the Project Useful Life.</t>
        </r>
      </text>
    </comment>
    <comment ref="I36" authorId="1" shapeId="0" xr:uid="{00000000-0006-0000-0100-000039000000}">
      <text>
        <r>
          <rPr>
            <b/>
            <sz val="14"/>
            <color indexed="81"/>
            <rFont val="Tahoma"/>
            <family val="2"/>
          </rPr>
          <t xml:space="preserve">Note:
</t>
        </r>
        <r>
          <rPr>
            <sz val="14"/>
            <color indexed="81"/>
            <rFont val="Tahoma"/>
            <family val="2"/>
          </rPr>
          <t xml:space="preserve">The Annual Property Tax Adjustment Factor allows the user to specify whether the Year One tax (or PILOT) value will remain fixed and flat, will decrease (a negative percentage value entered in this cell) or increase (a positive percentage value entered in this cell) over time.  </t>
        </r>
        <r>
          <rPr>
            <sz val="8"/>
            <color indexed="81"/>
            <rFont val="Tahoma"/>
            <family val="2"/>
          </rPr>
          <t xml:space="preserve">
</t>
        </r>
      </text>
    </comment>
    <comment ref="S36" authorId="0" shapeId="0" xr:uid="{00000000-0006-0000-0100-00003A000000}">
      <text>
        <r>
          <rPr>
            <b/>
            <sz val="14"/>
            <color indexed="81"/>
            <rFont val="Tahoma"/>
            <family val="2"/>
          </rPr>
          <t xml:space="preserve">Note:
</t>
        </r>
        <r>
          <rPr>
            <sz val="14"/>
            <color indexed="81"/>
            <rFont val="Tahoma"/>
            <family val="2"/>
          </rPr>
          <t xml:space="preserve">Calculates the dollar value of the State Investment Tax Credit, if applicable.
</t>
        </r>
      </text>
    </comment>
    <comment ref="I37" authorId="1" shapeId="0" xr:uid="{00000000-0006-0000-0100-00003B000000}">
      <text>
        <r>
          <rPr>
            <b/>
            <sz val="14"/>
            <color indexed="81"/>
            <rFont val="Tahoma"/>
            <family val="2"/>
          </rPr>
          <t xml:space="preserve">Note:
</t>
        </r>
        <r>
          <rPr>
            <sz val="14"/>
            <color indexed="81"/>
            <rFont val="Tahoma"/>
            <family val="2"/>
          </rPr>
          <t xml:space="preserve">The Land Lease input represents </t>
        </r>
        <r>
          <rPr>
            <b/>
            <u/>
            <sz val="14"/>
            <color indexed="81"/>
            <rFont val="Tahoma"/>
            <family val="2"/>
          </rPr>
          <t>fixed payments</t>
        </r>
        <r>
          <rPr>
            <sz val="14"/>
            <color indexed="81"/>
            <rFont val="Tahoma"/>
            <family val="2"/>
          </rPr>
          <t xml:space="preserve"> to the site host (and possibly other affected parties) for the use of the land on which the project is located.  
Variable royalty payments may be applied in addition to, or in lieu of, the land lease payment through the "Royalties" input below, if applicable.  
Input cannot be less than zero.
</t>
        </r>
      </text>
    </comment>
    <comment ref="S37" authorId="0" shapeId="0" xr:uid="{00000000-0006-0000-0100-00003C000000}">
      <text>
        <r>
          <rPr>
            <b/>
            <sz val="14"/>
            <color indexed="81"/>
            <rFont val="Tahoma"/>
            <family val="2"/>
          </rPr>
          <t xml:space="preserve">Note: </t>
        </r>
        <r>
          <rPr>
            <sz val="14"/>
            <color indexed="81"/>
            <rFont val="Tahoma"/>
            <family val="2"/>
          </rPr>
          <t xml:space="preserve">
This input cell, the "Performance Based Incentive" or "PBI" is another potential incentive available to some specific projects. The PBI would be separate from a feed-in-tariff, but acts similarly in that it is per unit of production (typically kWh) income to a project.
Some examples of PBIs include the Federal Production Tax Credit (applicable to private projects with tax appetites) and the Federal Renewable Energy Production Incentive (REPI), historically available to some public projects.
</t>
        </r>
      </text>
    </comment>
    <comment ref="I38" authorId="1" shapeId="0" xr:uid="{00000000-0006-0000-0100-00003D000000}">
      <text>
        <r>
          <rPr>
            <b/>
            <sz val="14"/>
            <color indexed="81"/>
            <rFont val="Tahoma"/>
            <family val="2"/>
          </rPr>
          <t xml:space="preserve">Note:
</t>
        </r>
        <r>
          <rPr>
            <sz val="14"/>
            <color indexed="81"/>
            <rFont val="Tahoma"/>
            <family val="2"/>
          </rPr>
          <t xml:space="preserve">The royalties input accounts for </t>
        </r>
        <r>
          <rPr>
            <b/>
            <u/>
            <sz val="14"/>
            <color indexed="81"/>
            <rFont val="Tahoma"/>
            <family val="2"/>
          </rPr>
          <t>variable</t>
        </r>
        <r>
          <rPr>
            <sz val="14"/>
            <color indexed="81"/>
            <rFont val="Tahoma"/>
            <family val="2"/>
          </rPr>
          <t xml:space="preserve"> payments to site hosts, neighbors, partners, or other parties which may have a stake in the project and which are NOT covered by the fixed "Land Lease" payment. 
Fixed payments may be applied in addition to, or in lieu of, the royalty payment through the "Land Lease" input above, if applicable.  
</t>
        </r>
        <r>
          <rPr>
            <b/>
            <sz val="14"/>
            <color indexed="81"/>
            <rFont val="Tahoma"/>
            <family val="2"/>
          </rPr>
          <t>Inflation is NOT applied to this input</t>
        </r>
        <r>
          <rPr>
            <sz val="14"/>
            <color indexed="81"/>
            <rFont val="Tahoma"/>
            <family val="2"/>
          </rPr>
          <t xml:space="preserve">. However, if tariff escalation is selected, then the assumed royalty payment will increase over time since it is calculated as a function of revenue over time.
If the modeled project's royalty payments are not the same over time, then an average annual royalty payment should be calculated externally and entered in this cell. 
This input cannot be less than zero.
</t>
        </r>
        <r>
          <rPr>
            <sz val="8"/>
            <color indexed="81"/>
            <rFont val="Tahoma"/>
            <family val="2"/>
          </rPr>
          <t xml:space="preserve">
</t>
        </r>
      </text>
    </comment>
    <comment ref="S38" authorId="0" shapeId="0" xr:uid="{00000000-0006-0000-0100-00003E000000}">
      <text>
        <r>
          <rPr>
            <b/>
            <sz val="14"/>
            <color indexed="81"/>
            <rFont val="Tahoma"/>
            <family val="2"/>
          </rPr>
          <t xml:space="preserve">Note:
</t>
        </r>
        <r>
          <rPr>
            <sz val="14"/>
            <color indexed="81"/>
            <rFont val="Tahoma"/>
            <family val="2"/>
          </rPr>
          <t xml:space="preserve">Enter here the annual dollar value ("cap") of any state-specific production incentive.
</t>
        </r>
        <r>
          <rPr>
            <b/>
            <sz val="16"/>
            <color indexed="81"/>
            <rFont val="Tahoma"/>
            <family val="2"/>
          </rPr>
          <t>If no cap exists, enter zero.</t>
        </r>
        <r>
          <rPr>
            <sz val="14"/>
            <color indexed="81"/>
            <rFont val="Tahoma"/>
            <family val="2"/>
          </rPr>
          <t xml:space="preserve">
Input cannot be less than zero.
</t>
        </r>
      </text>
    </comment>
    <comment ref="I39" authorId="0" shapeId="0" xr:uid="{00000000-0006-0000-0100-00003F000000}">
      <text>
        <r>
          <rPr>
            <b/>
            <sz val="14"/>
            <color indexed="81"/>
            <rFont val="Tahoma"/>
            <family val="2"/>
          </rPr>
          <t xml:space="preserve">Note:
</t>
        </r>
        <r>
          <rPr>
            <sz val="14"/>
            <color indexed="81"/>
            <rFont val="Tahoma"/>
            <family val="2"/>
          </rPr>
          <t xml:space="preserve">This cell calculates the resulting dollar value cost of royalties paid to landowners or other stakeholders based on the input above and project revenue.  It is provided simply as a reference for the user.
</t>
        </r>
        <r>
          <rPr>
            <sz val="8"/>
            <color indexed="81"/>
            <rFont val="Tahoma"/>
            <family val="2"/>
          </rPr>
          <t xml:space="preserve">
</t>
        </r>
      </text>
    </comment>
    <comment ref="S39" authorId="0" shapeId="0" xr:uid="{00000000-0006-0000-0100-000040000000}">
      <text>
        <r>
          <rPr>
            <b/>
            <sz val="14"/>
            <color indexed="81"/>
            <rFont val="Tahoma"/>
            <family val="2"/>
          </rPr>
          <t xml:space="preserve">Note:
</t>
        </r>
        <r>
          <rPr>
            <sz val="14"/>
            <color indexed="81"/>
            <rFont val="Tahoma"/>
            <family val="2"/>
          </rPr>
          <t xml:space="preserve">Impacts tax treatment of PBI if owner is a taxable entity.
</t>
        </r>
      </text>
    </comment>
    <comment ref="S40" authorId="0" shapeId="0" xr:uid="{00000000-0006-0000-0100-000041000000}">
      <text>
        <r>
          <rPr>
            <b/>
            <sz val="14"/>
            <color indexed="81"/>
            <rFont val="Tahoma"/>
            <family val="2"/>
          </rPr>
          <t xml:space="preserve">Note: </t>
        </r>
        <r>
          <rPr>
            <sz val="14"/>
            <color indexed="81"/>
            <rFont val="Tahoma"/>
            <family val="2"/>
          </rPr>
          <t xml:space="preserve">
This cell denotes the value of the Performance Based Incentive applicable to the project's first year of commercial operation. In some cases, this value will need to be calculated external to the model if such PBI is derived from a "base year" and specified inflation index. The following cells can be used to account for inflation and the maximum term of eligibility.
Input cannot be less than zero.
</t>
        </r>
      </text>
    </comment>
    <comment ref="F41" authorId="0" shapeId="0" xr:uid="{00000000-0006-0000-0100-000042000000}">
      <text>
        <r>
          <rPr>
            <b/>
            <sz val="8"/>
            <color indexed="81"/>
            <rFont val="Tahoma"/>
            <family val="2"/>
          </rPr>
          <t>See "unit" definitions at the bottom of this worksheet.</t>
        </r>
        <r>
          <rPr>
            <sz val="8"/>
            <color indexed="81"/>
            <rFont val="Tahoma"/>
            <family val="2"/>
          </rPr>
          <t xml:space="preserve">
</t>
        </r>
      </text>
    </comment>
    <comment ref="I42" authorId="0" shapeId="0" xr:uid="{00000000-0006-0000-0100-000043000000}">
      <text>
        <r>
          <rPr>
            <b/>
            <sz val="14"/>
            <color indexed="81"/>
            <rFont val="Tahoma"/>
            <family val="2"/>
          </rPr>
          <t xml:space="preserve">Note:
</t>
        </r>
        <r>
          <rPr>
            <sz val="14"/>
            <color indexed="81"/>
            <rFont val="Tahoma"/>
            <family val="2"/>
          </rPr>
          <t xml:space="preserve">The # of months from construction start to commercial operation. This input cannot be less than zero.
</t>
        </r>
      </text>
    </comment>
    <comment ref="S42" authorId="0" shapeId="0" xr:uid="{00000000-0006-0000-0100-000044000000}">
      <text>
        <r>
          <rPr>
            <b/>
            <sz val="14"/>
            <color indexed="81"/>
            <rFont val="Tahoma"/>
            <family val="2"/>
          </rPr>
          <t>Note:</t>
        </r>
        <r>
          <rPr>
            <sz val="14"/>
            <color indexed="81"/>
            <rFont val="Tahoma"/>
            <family val="2"/>
          </rPr>
          <t xml:space="preserve">
This is the length of time that a project would be eligible for any Performance Based Incentives outlined in the cell immediately above. For example, the Federal Renewable Energy Production Incentive and Production Tax Credit incentives are available for the first 10 years of project operation.
Input cannot be less than zero.
</t>
        </r>
      </text>
    </comment>
    <comment ref="I43" authorId="0" shapeId="0" xr:uid="{00000000-0006-0000-0100-000045000000}">
      <text>
        <r>
          <rPr>
            <b/>
            <sz val="14"/>
            <color indexed="81"/>
            <rFont val="Tahoma"/>
            <family val="2"/>
          </rPr>
          <t xml:space="preserve">Note:
</t>
        </r>
        <r>
          <rPr>
            <sz val="14"/>
            <color indexed="81"/>
            <rFont val="Tahoma"/>
            <family val="2"/>
          </rPr>
          <t xml:space="preserve">The annual interest rate on construction debt. This input cannot be less than zero.
</t>
        </r>
      </text>
    </comment>
    <comment ref="S43" authorId="0" shapeId="0" xr:uid="{00000000-0006-0000-0100-000046000000}">
      <text>
        <r>
          <rPr>
            <b/>
            <sz val="14"/>
            <color indexed="81"/>
            <rFont val="Tahoma"/>
            <family val="2"/>
          </rPr>
          <t xml:space="preserve">Note:
</t>
        </r>
        <r>
          <rPr>
            <sz val="14"/>
            <color indexed="81"/>
            <rFont val="Tahoma"/>
            <family val="2"/>
          </rPr>
          <t xml:space="preserve">Performance Based Incentives are often adjusted to account for inflation. For example, the Federal Production Tax Credit (PTC) is adjusted each year to account for changes in the GDP IPD index. This cell can be used as a proxy for the inflation that would apply to any PBI incentive entered above.
This input cannot be left blank.
</t>
        </r>
      </text>
    </comment>
    <comment ref="I44" authorId="0" shapeId="0" xr:uid="{00000000-0006-0000-0100-000047000000}">
      <text>
        <r>
          <rPr>
            <b/>
            <sz val="14"/>
            <color indexed="81"/>
            <rFont val="Tahoma"/>
            <family val="2"/>
          </rPr>
          <t xml:space="preserve">Note:
</t>
        </r>
        <r>
          <rPr>
            <sz val="14"/>
            <color indexed="81"/>
            <rFont val="Tahoma"/>
            <family val="2"/>
          </rPr>
          <t xml:space="preserve">A calculated value showing the interest accrued during the construction period. Rather than requiring the user to define a detailed construction draw-down schedule, this calculation makes the simplifying assumption that the total project cost is spent in equal parts in each month of the construction period.
IDC is calculated on total project cost, assuming that any grants are collected after construction financing is repaid at time of permanent financing.
This cell is only used with the "Intermediate" and "Complex" capital cost options. The "Simple" capital cost option assumes that all project costs, including IDC, are included in the single input.
</t>
        </r>
      </text>
    </comment>
    <comment ref="S44" authorId="0" shapeId="0" xr:uid="{00000000-0006-0000-0100-000048000000}">
      <text>
        <r>
          <rPr>
            <b/>
            <sz val="14"/>
            <color indexed="81"/>
            <rFont val="Tahoma"/>
            <family val="2"/>
          </rPr>
          <t xml:space="preserve">Note:
</t>
        </r>
        <r>
          <rPr>
            <sz val="14"/>
            <color indexed="81"/>
            <rFont val="Tahoma"/>
            <family val="2"/>
          </rPr>
          <t xml:space="preserve">Include here the dollar per Watt value of any state-specific rebates or cash grants.
Input cannot be less than zero.
</t>
        </r>
      </text>
    </comment>
    <comment ref="S45" authorId="0" shapeId="0" xr:uid="{00000000-0006-0000-0100-000049000000}">
      <text>
        <r>
          <rPr>
            <b/>
            <sz val="14"/>
            <color indexed="81"/>
            <rFont val="Tahoma"/>
            <family val="2"/>
          </rPr>
          <t xml:space="preserve">Note:
</t>
        </r>
        <r>
          <rPr>
            <sz val="14"/>
            <color indexed="81"/>
            <rFont val="Tahoma"/>
            <family val="2"/>
          </rPr>
          <t xml:space="preserve">Enter here the maximum dollar value ("cap") of any state-specific rebate or grant.
If no cap exists, enter zero.
Input cannot be less than zero.
</t>
        </r>
      </text>
    </comment>
    <comment ref="F46" authorId="0" shapeId="0" xr:uid="{00000000-0006-0000-0100-00004A000000}">
      <text>
        <r>
          <rPr>
            <b/>
            <sz val="8"/>
            <color indexed="81"/>
            <rFont val="Tahoma"/>
            <family val="2"/>
          </rPr>
          <t>See "unit" definitions at the bottom of this worksheet.</t>
        </r>
        <r>
          <rPr>
            <sz val="8"/>
            <color indexed="81"/>
            <rFont val="Tahoma"/>
            <family val="2"/>
          </rPr>
          <t xml:space="preserve">
</t>
        </r>
      </text>
    </comment>
    <comment ref="S46" authorId="0" shapeId="0" xr:uid="{00000000-0006-0000-0100-00004B000000}">
      <text>
        <r>
          <rPr>
            <b/>
            <sz val="14"/>
            <color indexed="81"/>
            <rFont val="Tahoma"/>
            <family val="2"/>
          </rPr>
          <t xml:space="preserve">Note:
</t>
        </r>
        <r>
          <rPr>
            <sz val="14"/>
            <color indexed="81"/>
            <rFont val="Tahoma"/>
            <family val="2"/>
          </rPr>
          <t xml:space="preserve">Select here whether state grants are treated as taxable income.  If no, depreciation basis is reduced. 
</t>
        </r>
      </text>
    </comment>
    <comment ref="I47" authorId="0" shapeId="0" xr:uid="{00000000-0006-0000-0100-00004C000000}">
      <text>
        <r>
          <rPr>
            <b/>
            <sz val="14"/>
            <color indexed="81"/>
            <rFont val="Tahoma"/>
            <family val="2"/>
          </rPr>
          <t xml:space="preserve">Note:
</t>
        </r>
        <r>
          <rPr>
            <sz val="14"/>
            <color indexed="81"/>
            <rFont val="Tahoma"/>
            <family val="2"/>
          </rPr>
          <t xml:space="preserve">For ease of use and comprehension by a wide range of stakeholders, this model allows the user to define the capital structure, and relies on mortgage-style amortization of the project debt. The "% Debt" input specifies the portion of funds borrowed, as a percentage of the total "hard costs." Equity is assumed to fund the remaining hard costs PLUS all "soft costs" (e.g. transaction costs and funding of initial reserve accounts, if applicable).  This input cannot be less than zero.
Where maximum sustainable leverage is desired, the user must manually adjust the "% Debt" entry upward to the highest point </t>
        </r>
        <r>
          <rPr>
            <b/>
            <i/>
            <sz val="14"/>
            <color indexed="81"/>
            <rFont val="Tahoma"/>
            <family val="2"/>
          </rPr>
          <t>before</t>
        </r>
        <r>
          <rPr>
            <sz val="14"/>
            <color indexed="81"/>
            <rFont val="Tahoma"/>
            <family val="2"/>
          </rPr>
          <t xml:space="preserve"> the DSCRs no longer "Pass."
If a specific % Debt is desired, </t>
        </r>
        <r>
          <rPr>
            <u/>
            <sz val="14"/>
            <color indexed="81"/>
            <rFont val="Tahoma"/>
            <family val="2"/>
          </rPr>
          <t>and such % is higher than the maximum sustainable debt</t>
        </r>
        <r>
          <rPr>
            <sz val="14"/>
            <color indexed="81"/>
            <rFont val="Tahoma"/>
            <family val="2"/>
          </rPr>
          <t xml:space="preserve"> (such that it causes the DSCR to "Fail"), then the user must define the % Debt and then manually adjust the "Target After-Tax Equity IRR" upward until the DSCRs are met.  The user should </t>
        </r>
        <r>
          <rPr>
            <b/>
            <sz val="14"/>
            <color indexed="81"/>
            <rFont val="Tahoma"/>
            <family val="2"/>
          </rPr>
          <t>take note</t>
        </r>
        <r>
          <rPr>
            <sz val="14"/>
            <color indexed="81"/>
            <rFont val="Tahoma"/>
            <family val="2"/>
          </rPr>
          <t xml:space="preserve"> that when leverage becomes very high (and the corresponding equity contribution low), the "Target After-Tax Equity IRR" will need to be adjusted to levels exceeding typical commercial returns </t>
        </r>
        <r>
          <rPr>
            <u/>
            <sz val="14"/>
            <color indexed="81"/>
            <rFont val="Tahoma"/>
            <family val="2"/>
          </rPr>
          <t>in order to maintain the DSCR ratio</t>
        </r>
        <r>
          <rPr>
            <sz val="14"/>
            <color indexed="81"/>
            <rFont val="Tahoma"/>
            <family val="2"/>
          </rPr>
          <t xml:space="preserve"> on such high debt levels.  For this reason, it is not recommended that users solve for the COE associated with a % Debt that is beyond the maximum sustainable leverage.
If a project is expected to be funded either by a pool of corporate funds or back-leveraged after commercial operation, the user might elect to enter 0% in the "% Debt" cell and enter a weighted average cost of capital (WACC) in the "Target After-Tax Equity IRR" cell.
</t>
        </r>
      </text>
    </comment>
    <comment ref="I48" authorId="1" shapeId="0" xr:uid="{00000000-0006-0000-0100-00004D000000}">
      <text>
        <r>
          <rPr>
            <b/>
            <sz val="14"/>
            <color indexed="81"/>
            <rFont val="Tahoma"/>
            <family val="2"/>
          </rPr>
          <t>Note:</t>
        </r>
        <r>
          <rPr>
            <sz val="14"/>
            <color indexed="81"/>
            <rFont val="Tahoma"/>
            <family val="2"/>
          </rPr>
          <t xml:space="preserve">
Debt "tenor" (also casually referred to as "term"), is the number of years in the debt repayment schedule.   
Caution: If the project will utilize debt, this value must be greater than zero but less than or equal to the total FIT contract duration.
</t>
        </r>
      </text>
    </comment>
    <comment ref="I49" authorId="1" shapeId="0" xr:uid="{00000000-0006-0000-0100-00004E000000}">
      <text>
        <r>
          <rPr>
            <b/>
            <sz val="14"/>
            <color indexed="81"/>
            <rFont val="Tahoma"/>
            <family val="2"/>
          </rPr>
          <t>Note:</t>
        </r>
        <r>
          <rPr>
            <sz val="14"/>
            <color indexed="81"/>
            <rFont val="Tahoma"/>
            <family val="2"/>
          </rPr>
          <t xml:space="preserve">
The all-in interest rate is the financing rate provided by the bank or other debt investor.
This input cannot be less than zero.
</t>
        </r>
      </text>
    </comment>
    <comment ref="S49" authorId="0" shapeId="0" xr:uid="{00000000-0006-0000-0100-00004F000000}">
      <text>
        <r>
          <rPr>
            <b/>
            <sz val="14"/>
            <color indexed="81"/>
            <rFont val="Tahoma"/>
            <family val="2"/>
          </rPr>
          <t>Note:</t>
        </r>
        <r>
          <rPr>
            <sz val="14"/>
            <color indexed="81"/>
            <rFont val="Tahoma"/>
            <family val="2"/>
          </rPr>
          <t xml:space="preserve">
In the case of wind energy projects, one of the major hardware components is the gearbox. Gearboxes are typically warrantied for several years, and a measurable percentage may be expected to fail after approximately 7 to 12 years of operation. One or more blade replacement may also be necessary, at approxiamtely year 15.  These input cells allow for assumptions regarding one or more gearbox, blade or other replacements over a project's useful life.  
Caution: Modelers should take into account the assumed contract duration and the project's useful life when considering whether to assume equipment replacements in the latter years of this analysis. 
Inputs should be greater than zero and less than the Project Useful Life.
</t>
        </r>
      </text>
    </comment>
    <comment ref="I50" authorId="0" shapeId="0" xr:uid="{00000000-0006-0000-0100-000050000000}">
      <text>
        <r>
          <rPr>
            <b/>
            <sz val="14"/>
            <color indexed="81"/>
            <rFont val="Tahoma"/>
            <family val="2"/>
          </rPr>
          <t xml:space="preserve">Note:
</t>
        </r>
        <r>
          <rPr>
            <sz val="14"/>
            <color indexed="81"/>
            <rFont val="Tahoma"/>
            <family val="2"/>
          </rPr>
          <t xml:space="preserve">A one-time fee collected by the lender and calculated as a % of the total loan amount. This value is typically between 1% and 4%.
This input cannot be less than zero.
</t>
        </r>
      </text>
    </comment>
    <comment ref="S50" authorId="0" shapeId="0" xr:uid="{00000000-0006-0000-0100-000051000000}">
      <text>
        <r>
          <rPr>
            <b/>
            <sz val="14"/>
            <color indexed="81"/>
            <rFont val="Tahoma"/>
            <family val="2"/>
          </rPr>
          <t xml:space="preserve">Note:
</t>
        </r>
        <r>
          <rPr>
            <sz val="14"/>
            <color indexed="81"/>
            <rFont val="Tahoma"/>
            <family val="2"/>
          </rPr>
          <t>The cost of (or even need for) a gearbox replacement is difficult to assess, given that costs are attributable to an item that would be purchased more than 10 years from commercial operation. The input placed in this cell must be in nominal dollars -- reflecting the expected cost of the equipment in the year replaced. Funds sufficient to pay for this replacement are then reserved through operations in equal amounts until the year in which the replacement occurs.
Note: This model assumes that future equipment purchases, such as gearboxes or blades, will be depreciated on 5-yr MACRS basis.
Input must be greater than or equal to zero.</t>
        </r>
      </text>
    </comment>
    <comment ref="I51" authorId="1" shapeId="0" xr:uid="{00000000-0006-0000-0100-000052000000}">
      <text>
        <r>
          <rPr>
            <b/>
            <sz val="14"/>
            <color indexed="81"/>
            <rFont val="Tahoma"/>
            <family val="2"/>
          </rPr>
          <t>Note:</t>
        </r>
        <r>
          <rPr>
            <sz val="14"/>
            <color indexed="81"/>
            <rFont val="Tahoma"/>
            <family val="2"/>
          </rPr>
          <t xml:space="preserve">
The annual Debt Service Coverage Ratio is calculated by dividing the sum of the annual principal and interest payment into that year's operating cash flow. Lenders will require the DSCR to demonstrate the project's ability to easily meet its annual debt service obligation.
Average DSCRs over the life of the loan typically range from 1.2 to 1.5 for private, commercially financed projects, or from 1.1 to 1.3 for publicly owned, bond-financed projects - depending on the level of reserves, or other surety, provided. 
The annual minimum DSCR will depend on the specific terms of the loan and the probability-weighting of the production estimate, but will likely be in the range of 1.0 to 1.3. This input must be greater than 1.
</t>
        </r>
      </text>
    </comment>
    <comment ref="S51" authorId="0" shapeId="0" xr:uid="{00000000-0006-0000-0100-000053000000}">
      <text>
        <r>
          <rPr>
            <b/>
            <sz val="14"/>
            <color indexed="81"/>
            <rFont val="Tahoma"/>
            <family val="2"/>
          </rPr>
          <t>Note:</t>
        </r>
        <r>
          <rPr>
            <sz val="14"/>
            <color indexed="81"/>
            <rFont val="Tahoma"/>
            <family val="2"/>
          </rPr>
          <t xml:space="preserve">
In the case of wind energy projects, one of the major hardware components is the gearbox. Gearboxes are typically warrantied for several years, and a measurable percentage may be expected to fail after approximately 7 to 12 years of operation. One or more blade replacement may also be necessary, at approxiamtely year 15.  These input cells allow for assumptions regarding one or more gearbox, blade or other replacements over a project's useful life.   
Caution: Modelers should take into account the assumed contract duration and the project's useful life when considering whether to assume equipment replacements in the latter years of this analysis. 
Inputs should be greater than zero and less than the Project Useful Life.
</t>
        </r>
      </text>
    </comment>
    <comment ref="I52" authorId="0" shapeId="0" xr:uid="{00000000-0006-0000-0100-000054000000}">
      <text>
        <r>
          <rPr>
            <b/>
            <sz val="14"/>
            <color indexed="81"/>
            <rFont val="Tahoma"/>
            <family val="2"/>
          </rPr>
          <t>Note:</t>
        </r>
        <r>
          <rPr>
            <sz val="14"/>
            <color indexed="81"/>
            <rFont val="Tahoma"/>
            <family val="2"/>
          </rPr>
          <t xml:space="preserve">
If "#N/A" appears, F9 should be pressed until the calculated COE achieves it's final value.</t>
        </r>
      </text>
    </comment>
    <comment ref="S52" authorId="0" shapeId="0" xr:uid="{00000000-0006-0000-0100-000055000000}">
      <text>
        <r>
          <rPr>
            <b/>
            <sz val="14"/>
            <color indexed="81"/>
            <rFont val="Tahoma"/>
            <family val="2"/>
          </rPr>
          <t xml:space="preserve">Note:
</t>
        </r>
        <r>
          <rPr>
            <sz val="14"/>
            <color indexed="81"/>
            <rFont val="Tahoma"/>
            <family val="2"/>
          </rPr>
          <t>The cost of (or even need for) a gearbox replacement is difficult to assess, given that costs are attributable to an item that would be purchased more than 10 years from commercial operation. The input placed in this cell must be in nominal dollars -- reflecting the expected cost of the equipment in the year replaced. Funds sufficient to pay for this replacement are then reserved through operations in equal amounts until the year in which the replacement occurs.
Note: This model assumes that future equipment purchases, such as gearboxes or blades, will be depreciated on 5-yr MACRS basis.
Input must be greater than or equal to zero.</t>
        </r>
      </text>
    </comment>
    <comment ref="I53" authorId="1" shapeId="0" xr:uid="{00000000-0006-0000-0100-000056000000}">
      <text>
        <r>
          <rPr>
            <b/>
            <sz val="14"/>
            <color indexed="81"/>
            <rFont val="Tahoma"/>
            <family val="2"/>
          </rPr>
          <t>Note:</t>
        </r>
        <r>
          <rPr>
            <sz val="14"/>
            <color indexed="81"/>
            <rFont val="Tahoma"/>
            <family val="2"/>
          </rPr>
          <t xml:space="preserve">
This cell checks that the debt service coverage ratio exceeds the user-defined minimum in each operating year (see note in DSCR cell for definition and rationale for DSCR). If the test "fails", the user must choose from one of several options in order to cure this deficiency (the extent to which these options are available will be specific to each project):
1. reduce the amount of project level debt, 
2. increase the feed-in tariff rate in order to generate cash flow sufficient to meet the bank's assumed coverage requirement.  In the CREST model, </t>
        </r>
        <r>
          <rPr>
            <u/>
            <sz val="14"/>
            <color indexed="81"/>
            <rFont val="Tahoma"/>
            <family val="2"/>
          </rPr>
          <t>this is done by manually increasing the "Target After-Tax Equity IRR."</t>
        </r>
        <r>
          <rPr>
            <sz val="14"/>
            <color indexed="81"/>
            <rFont val="Tahoma"/>
            <family val="2"/>
          </rPr>
          <t xml:space="preserve">
Other possible, but less likely, mechanisms include:
3. increase the loan tenor
4. decrease the interest rate</t>
        </r>
      </text>
    </comment>
    <comment ref="S53" authorId="0" shapeId="0" xr:uid="{00000000-0006-0000-0100-000057000000}">
      <text>
        <r>
          <rPr>
            <b/>
            <sz val="14"/>
            <color indexed="81"/>
            <rFont val="Tahoma"/>
            <family val="2"/>
          </rPr>
          <t>Note:</t>
        </r>
        <r>
          <rPr>
            <sz val="14"/>
            <color indexed="81"/>
            <rFont val="Tahoma"/>
            <family val="2"/>
          </rPr>
          <t xml:space="preserve">
In the case of wind energy projects, one of the major hardware components is the gearbox. Gearboxes are typically warrantied for several years, and a measurable percentage may be expected to fail after approximately 7 to 12 years of operation. One or more blade replacement may also be necessary, at approxiamtely year 15.  These input cells allow for assumptions regarding one or more gearbox, blade or other replacements over a project's useful life.  
Caution: Modelers should take into account the assumed contract duration and the project's useful life when considering whether to assume equipment replacements in the latter years of this analysis. 
Inputs should be greater than zero and less than the Project Useful Life.
</t>
        </r>
      </text>
    </comment>
    <comment ref="I54" authorId="1" shapeId="0" xr:uid="{00000000-0006-0000-0100-000058000000}">
      <text>
        <r>
          <rPr>
            <b/>
            <sz val="14"/>
            <color indexed="81"/>
            <rFont val="Tahoma"/>
            <family val="2"/>
          </rPr>
          <t>Note:</t>
        </r>
        <r>
          <rPr>
            <sz val="14"/>
            <color indexed="81"/>
            <rFont val="Tahoma"/>
            <family val="2"/>
          </rPr>
          <t xml:space="preserve">
The annual Debt Service Coverage Ratio is calculated by dividing the sum of the annual principal and interest payment into that year's operating cash flow. Lenders will require the DSCR to demonstrate the project's ability to easily meet its annual debt service obligation.
</t>
        </r>
        <r>
          <rPr>
            <u/>
            <sz val="14"/>
            <color indexed="81"/>
            <rFont val="Tahoma"/>
            <family val="2"/>
          </rPr>
          <t>Average</t>
        </r>
        <r>
          <rPr>
            <sz val="14"/>
            <color indexed="81"/>
            <rFont val="Tahoma"/>
            <family val="2"/>
          </rPr>
          <t xml:space="preserve"> DSCRs over the life of the loan typically range from 1.2 to 1.5 for private, commercially financed projects, or from 1.1 to 1.3 for publicly owned, bond-financed projects - depending on the level of reserves, or other surety, provided. 
The </t>
        </r>
        <r>
          <rPr>
            <u/>
            <sz val="14"/>
            <color indexed="81"/>
            <rFont val="Tahoma"/>
            <family val="2"/>
          </rPr>
          <t>annual minimum</t>
        </r>
        <r>
          <rPr>
            <sz val="14"/>
            <color indexed="81"/>
            <rFont val="Tahoma"/>
            <family val="2"/>
          </rPr>
          <t xml:space="preserve"> DSCR will depend on the specific terms of the loan and the probability-weighting of the production estimate, but will likely be in the range of 1.0 to 1.3. This input must be greater than 1.
</t>
        </r>
      </text>
    </comment>
    <comment ref="S54" authorId="0" shapeId="0" xr:uid="{00000000-0006-0000-0100-000059000000}">
      <text>
        <r>
          <rPr>
            <b/>
            <sz val="14"/>
            <color indexed="81"/>
            <rFont val="Tahoma"/>
            <family val="2"/>
          </rPr>
          <t xml:space="preserve">Note:
</t>
        </r>
        <r>
          <rPr>
            <sz val="14"/>
            <color indexed="81"/>
            <rFont val="Tahoma"/>
            <family val="2"/>
          </rPr>
          <t>The cost of (or even need for) a gearbox replacement is difficult to assess, given that costs are attributable to an item that would be purchased more than 10 years from commercial operation. The input placed in this cell must be in nominal dollars -- reflecting the expected cost of the equipment in the year replaced. Funds sufficient to pay for this replacement are then reserved through operations in equal amounts until the year in which the replacement occurs.
Note: This model assumes that future equipment purchases, such as gearboxes or blades, will be depreciated on 5-yr MACRS basis.
Input must be greater than or equal to zero.</t>
        </r>
      </text>
    </comment>
    <comment ref="I55" authorId="0" shapeId="0" xr:uid="{00000000-0006-0000-0100-00005A000000}">
      <text>
        <r>
          <rPr>
            <b/>
            <sz val="12"/>
            <color indexed="81"/>
            <rFont val="Tahoma"/>
            <family val="2"/>
          </rPr>
          <t>Note:</t>
        </r>
        <r>
          <rPr>
            <sz val="12"/>
            <color indexed="81"/>
            <rFont val="Tahoma"/>
            <family val="2"/>
          </rPr>
          <t xml:space="preserve">
If "#N/A" appears, F9 should be pressed until the calculated COE achieves it's final value.</t>
        </r>
      </text>
    </comment>
    <comment ref="S55" authorId="0" shapeId="0" xr:uid="{00000000-0006-0000-0100-00005B000000}">
      <text>
        <r>
          <rPr>
            <b/>
            <sz val="14"/>
            <color indexed="81"/>
            <rFont val="Tahoma"/>
            <family val="2"/>
          </rPr>
          <t>Note:</t>
        </r>
        <r>
          <rPr>
            <sz val="14"/>
            <color indexed="81"/>
            <rFont val="Tahoma"/>
            <family val="2"/>
          </rPr>
          <t xml:space="preserve">
In the case of wind energy projects, one of the major hardware components is the gearbox. Gearboxes are typically warrantied for several years, and a measurable percentage may be expected to fail after approximately 7 to 12 years of operation. One or more blade replacement may also be necessary, at approxiamtely year 15.  These input cells allow for assumptions regarding one or more gearbox, blade or other replacements over a project's useful life.   
Caution: Modelers should take into account the assumed contract duration and the project's useful life when considering whether to assume equipment replacements in the latter years of this analysis. 
Inputs should be greater than zero and less than the Project Useful Life.
</t>
        </r>
      </text>
    </comment>
    <comment ref="I56" authorId="1" shapeId="0" xr:uid="{00000000-0006-0000-0100-00005C000000}">
      <text>
        <r>
          <rPr>
            <b/>
            <sz val="14"/>
            <color indexed="81"/>
            <rFont val="Tahoma"/>
            <family val="2"/>
          </rPr>
          <t>Note:</t>
        </r>
        <r>
          <rPr>
            <sz val="14"/>
            <color indexed="81"/>
            <rFont val="Tahoma"/>
            <family val="2"/>
          </rPr>
          <t xml:space="preserve">
This cell checks that the average debt service coverage ratio exceeds the user-defined minimum during the period for which debt is outstanding (see note in DSCR cell for definition and rationale for DSCR). If the test "fails", the user must choose from one of several options in order to cure this deficiency (the extent to which these options are available will be specific to each project):
1. reduce the amount of project level debt, 
2. increase the feed-in tariff rate in order to generate cash flow sufficient to meet the bank's assumed coverage requirement.  In the CREST model, </t>
        </r>
        <r>
          <rPr>
            <u/>
            <sz val="14"/>
            <color indexed="81"/>
            <rFont val="Tahoma"/>
            <family val="2"/>
          </rPr>
          <t>this is done by manually increasing the "Target After-Tax Equity IRR."</t>
        </r>
        <r>
          <rPr>
            <sz val="14"/>
            <color indexed="81"/>
            <rFont val="Tahoma"/>
            <family val="2"/>
          </rPr>
          <t xml:space="preserve">
Other possible, but less likely, mechanisms include:
3. increase the loan tenor
4. decrease the interest rate</t>
        </r>
      </text>
    </comment>
    <comment ref="S56" authorId="0" shapeId="0" xr:uid="{00000000-0006-0000-0100-00005D000000}">
      <text>
        <r>
          <rPr>
            <b/>
            <sz val="14"/>
            <color indexed="81"/>
            <rFont val="Tahoma"/>
            <family val="2"/>
          </rPr>
          <t xml:space="preserve">Note:
</t>
        </r>
        <r>
          <rPr>
            <sz val="14"/>
            <color indexed="81"/>
            <rFont val="Tahoma"/>
            <family val="2"/>
          </rPr>
          <t>The cost of (or even need for) a gearbox replacement is difficult to assess, given that costs are attributable to an item that would be purchased more than 10 years from commercial operation. The input placed in this cell must be in nominal dollars -- reflecting the expected cost of the equipment in the year replaced. Funds sufficient to pay for this replacement are then reserved through operations in equal amounts until the year in which the replacement occurs.
Note: This model assumes that future equipment purchases, such as gearboxes or blades, will be depreciated on 5-yr MACRS basis.
Input must be greater than or equal to zero.</t>
        </r>
      </text>
    </comment>
    <comment ref="I57" authorId="0" shapeId="0" xr:uid="{00000000-0006-0000-0100-00005E000000}">
      <text>
        <r>
          <rPr>
            <b/>
            <sz val="14"/>
            <color indexed="81"/>
            <rFont val="Tahoma"/>
            <family val="2"/>
          </rPr>
          <t xml:space="preserve">Note:
</t>
        </r>
        <r>
          <rPr>
            <sz val="14"/>
            <color indexed="81"/>
            <rFont val="Tahoma"/>
            <family val="2"/>
          </rPr>
          <t xml:space="preserve">The portion of total project cost funded from equity investors. This cell is a calculation and not an input. It is calculated as 100% minus the "% Debt" entered above.
</t>
        </r>
      </text>
    </comment>
    <comment ref="I58" authorId="1" shapeId="0" xr:uid="{00000000-0006-0000-0100-00005F000000}">
      <text>
        <r>
          <rPr>
            <b/>
            <sz val="14"/>
            <color indexed="81"/>
            <rFont val="Tahoma"/>
            <family val="2"/>
          </rPr>
          <t>Note:</t>
        </r>
        <r>
          <rPr>
            <sz val="14"/>
            <color indexed="81"/>
            <rFont val="Tahoma"/>
            <family val="2"/>
          </rPr>
          <t xml:space="preserve">
The target after-tax equity IRR is the equity investor's cost of capital -- or "discount rate" -- and is the minimum rate of return that the project owner will seek to attain in order to justify the project compared to alternative investments.  The CREST model assumes a single equity investor taking both cash and tax benefits.  As a result, the target after-tax equity IRR entered here should represent a blend of expected returns for both cash and tax equity investments.
The user should be explicit in his or her assumption regarding the term over which the target after-tax IRR is assumed to be realized. For example, the user could elect to align the return requirement with the tariff payment duration. In this case, the project useful life should be set equal to the tariff duration in order to calculate the COE associated with the target IRR over that period of time. 
In a second example, the user could elect to align the return requirement with the project's useful life. In this case, the user can either assume a tariff duration equal to the project life, or assume market-based revenue for the period after the tariff and before the end of the assumed project useful life.
This input cannot be less than zero.
If a project is expected to be funded either by a pool of corporate funds or back-leveraged after commercial operation, the user might elect to enter 0% in the "% Debt" cell and enter a weighted average cost of capital (WACC) in the "Target After-Tax Equity IRR" cell.
</t>
        </r>
      </text>
    </comment>
    <comment ref="P58" authorId="0" shapeId="0" xr:uid="{00000000-0006-0000-0100-000060000000}">
      <text>
        <r>
          <rPr>
            <b/>
            <sz val="8"/>
            <color indexed="81"/>
            <rFont val="Tahoma"/>
            <family val="2"/>
          </rPr>
          <t>See "unit" definitions at the bottom of this worksheet.</t>
        </r>
        <r>
          <rPr>
            <sz val="8"/>
            <color indexed="81"/>
            <rFont val="Tahoma"/>
            <family val="2"/>
          </rPr>
          <t xml:space="preserve">
</t>
        </r>
      </text>
    </comment>
    <comment ref="I59" authorId="0" shapeId="0" xr:uid="{00000000-0006-0000-0100-000061000000}">
      <text>
        <r>
          <rPr>
            <b/>
            <sz val="14"/>
            <color indexed="81"/>
            <rFont val="Tahoma"/>
            <family val="2"/>
          </rPr>
          <t xml:space="preserve">Note:
</t>
        </r>
        <r>
          <rPr>
            <sz val="14"/>
            <color indexed="81"/>
            <rFont val="Tahoma"/>
            <family val="2"/>
          </rPr>
          <t xml:space="preserve">The weighted average cost of capital combines the after-tax cost of both equity and debt in proportion to their use, and is calculated here for reference.
</t>
        </r>
      </text>
    </comment>
    <comment ref="I60" authorId="0" shapeId="0" xr:uid="{00000000-0006-0000-0100-000062000000}">
      <text>
        <r>
          <rPr>
            <b/>
            <sz val="14"/>
            <color indexed="81"/>
            <rFont val="Tahoma"/>
            <family val="2"/>
          </rPr>
          <t xml:space="preserve">Note:
</t>
        </r>
        <r>
          <rPr>
            <sz val="14"/>
            <color indexed="81"/>
            <rFont val="Tahoma"/>
            <family val="2"/>
          </rPr>
          <t>This cell represents the costs of both equity and debt due diligence (if applicable) and other transaction costs.
Input cannot be less than zero.</t>
        </r>
      </text>
    </comment>
    <comment ref="S60" authorId="1" shapeId="0" xr:uid="{00000000-0006-0000-0100-000063000000}">
      <text>
        <r>
          <rPr>
            <b/>
            <sz val="14"/>
            <color indexed="81"/>
            <rFont val="Tahoma"/>
            <family val="2"/>
          </rPr>
          <t xml:space="preserve">Note:
</t>
        </r>
        <r>
          <rPr>
            <sz val="14"/>
            <color indexed="81"/>
            <rFont val="Tahoma"/>
            <family val="2"/>
          </rPr>
          <t xml:space="preserve">In order to ensure that project owners have sufficient funds to decommission and remove equipment at the end of a project's life, many owners choose to create and fund a reserve account throughout the course of project. 
This input cell allows the modeler to choose whether to pay for project removal by creating and funding a reserve account over the project life by selecting "Operations" or to assume that a project's removal will be funded by selling the equipment, by selecting "Salvage".
</t>
        </r>
      </text>
    </comment>
    <comment ref="S61" authorId="0" shapeId="0" xr:uid="{00000000-0006-0000-0100-000064000000}">
      <text>
        <r>
          <rPr>
            <b/>
            <sz val="14"/>
            <color indexed="81"/>
            <rFont val="Tahoma"/>
            <family val="2"/>
          </rPr>
          <t>Note:</t>
        </r>
        <r>
          <rPr>
            <sz val="14"/>
            <color indexed="81"/>
            <rFont val="Tahoma"/>
            <family val="2"/>
          </rPr>
          <t xml:space="preserve">
This input cell allows the user to assume the creation of a reserve account. The value entered here will be accounted for in the project's cash flow, and would be funded evenly over the number of years available between the project's commercial operation and the end of its useful life.
Input cannot be less than zero.
</t>
        </r>
      </text>
    </comment>
    <comment ref="I63" authorId="0" shapeId="0" xr:uid="{00000000-0006-0000-0100-000065000000}">
      <text>
        <r>
          <rPr>
            <b/>
            <sz val="14"/>
            <color indexed="81"/>
            <rFont val="Tahoma"/>
            <family val="2"/>
          </rPr>
          <t xml:space="preserve">NOTE:
</t>
        </r>
        <r>
          <rPr>
            <sz val="14"/>
            <color indexed="81"/>
            <rFont val="Tahoma"/>
            <family val="2"/>
          </rPr>
          <t xml:space="preserve">The "sources of funding" cells summarize the amount of capital contributed from equity, debt and grants, if applicable. The sum is the same at the project's "Total Installed Cost."
</t>
        </r>
      </text>
    </comment>
    <comment ref="P63" authorId="0" shapeId="0" xr:uid="{00000000-0006-0000-0100-000066000000}">
      <text>
        <r>
          <rPr>
            <b/>
            <sz val="8"/>
            <color indexed="81"/>
            <rFont val="Tahoma"/>
            <family val="2"/>
          </rPr>
          <t>See "unit" definitions at the bottom of this worksheet.</t>
        </r>
        <r>
          <rPr>
            <sz val="8"/>
            <color indexed="81"/>
            <rFont val="Tahoma"/>
            <family val="2"/>
          </rPr>
          <t xml:space="preserve">
</t>
        </r>
      </text>
    </comment>
    <comment ref="I64" authorId="0" shapeId="0" xr:uid="{00000000-0006-0000-0100-000067000000}">
      <text>
        <r>
          <rPr>
            <b/>
            <sz val="14"/>
            <color indexed="81"/>
            <rFont val="Tahoma"/>
            <family val="2"/>
          </rPr>
          <t xml:space="preserve">NOTE:
</t>
        </r>
        <r>
          <rPr>
            <sz val="14"/>
            <color indexed="81"/>
            <rFont val="Tahoma"/>
            <family val="2"/>
          </rPr>
          <t xml:space="preserve">The "sources of funding" cells summarize the amount of capital contributed from equity, debt and grants, if applicable. The sum is the same as the project's "Total Installed Cost."
</t>
        </r>
      </text>
    </comment>
    <comment ref="I65" authorId="1" shapeId="0" xr:uid="{00000000-0006-0000-0100-000068000000}">
      <text>
        <r>
          <rPr>
            <b/>
            <sz val="14"/>
            <color indexed="81"/>
            <rFont val="Tahoma"/>
            <family val="2"/>
          </rPr>
          <t xml:space="preserve">Note:
</t>
        </r>
        <r>
          <rPr>
            <sz val="14"/>
            <color indexed="81"/>
            <rFont val="Tahoma"/>
            <family val="2"/>
          </rPr>
          <t xml:space="preserve">This cell calculates the total of all applicable grants, excluding the payment in lieu of the Federal ITC (also known as the ITC Cash Grant, or Cash Grant), if applicable.  The ITC Cash Grant is considered separately because unlike grants issued upfront and used to offset capital costs, the ITC Cash Grant is disbursed approxiamtely 60 days after the start of commercial operations and therefore becomes an integral part of the project's financing.
Where grants are treated as taxable income, this cell calculates the after-tax impact on the total cost of the project.
  </t>
        </r>
        <r>
          <rPr>
            <sz val="8"/>
            <color indexed="81"/>
            <rFont val="Tahoma"/>
            <family val="2"/>
          </rPr>
          <t xml:space="preserve">
</t>
        </r>
      </text>
    </comment>
    <comment ref="S65" authorId="0" shapeId="0" xr:uid="{00000000-0006-0000-0100-000069000000}">
      <text>
        <r>
          <rPr>
            <b/>
            <sz val="14"/>
            <color indexed="81"/>
            <rFont val="Tahoma"/>
            <family val="2"/>
          </rPr>
          <t>Note:</t>
        </r>
        <r>
          <rPr>
            <sz val="14"/>
            <color indexed="81"/>
            <rFont val="Tahoma"/>
            <family val="2"/>
          </rPr>
          <t xml:space="preserve">
Lenders typically require the project owner to establish a reserve account prior to the commencement of operations to ensure that loan repayments occur in full and on time even if the project has insufficient operating cash flow in a specific period due to lower than expected production, higher costs, or both. The size of the reserve account is typically equal to 6 months of debt service obligation.
Input cannot be less than zero.
</t>
        </r>
      </text>
    </comment>
    <comment ref="I66" authorId="0" shapeId="0" xr:uid="{00000000-0006-0000-0100-00006A000000}">
      <text>
        <r>
          <rPr>
            <b/>
            <sz val="14"/>
            <color indexed="81"/>
            <rFont val="Tahoma"/>
            <family val="2"/>
          </rPr>
          <t xml:space="preserve">NOTE:
</t>
        </r>
        <r>
          <rPr>
            <sz val="14"/>
            <color indexed="81"/>
            <rFont val="Tahoma"/>
            <family val="2"/>
          </rPr>
          <t xml:space="preserve">The "sources of funding" cells summarize the amount of capital contributed from equity, debt and grants, if applicable. The sum is the same as the project's "Total Installed Cost."
</t>
        </r>
      </text>
    </comment>
    <comment ref="S66" authorId="0" shapeId="0" xr:uid="{00000000-0006-0000-0100-00006B000000}">
      <text>
        <r>
          <rPr>
            <b/>
            <sz val="14"/>
            <color indexed="81"/>
            <rFont val="Tahoma"/>
            <family val="2"/>
          </rPr>
          <t>Note:</t>
        </r>
        <r>
          <rPr>
            <sz val="14"/>
            <color indexed="81"/>
            <rFont val="Tahoma"/>
            <family val="2"/>
          </rPr>
          <t xml:space="preserve">
Calculated value based on the # months of required reserve and the capital structure and associated periodic debt obligation.
</t>
        </r>
      </text>
    </comment>
    <comment ref="F68" authorId="0" shapeId="0" xr:uid="{00000000-0006-0000-0100-00006C000000}">
      <text>
        <r>
          <rPr>
            <b/>
            <sz val="8"/>
            <color indexed="81"/>
            <rFont val="Tahoma"/>
            <family val="2"/>
          </rPr>
          <t>See "unit" definitions at the bottom of this worksheet.</t>
        </r>
        <r>
          <rPr>
            <sz val="8"/>
            <color indexed="81"/>
            <rFont val="Tahoma"/>
            <family val="2"/>
          </rPr>
          <t xml:space="preserve">
</t>
        </r>
      </text>
    </comment>
    <comment ref="S68" authorId="0" shapeId="0" xr:uid="{00000000-0006-0000-0100-00006D000000}">
      <text>
        <r>
          <rPr>
            <b/>
            <sz val="14"/>
            <color indexed="81"/>
            <rFont val="Tahoma"/>
            <family val="2"/>
          </rPr>
          <t>Note:</t>
        </r>
        <r>
          <rPr>
            <sz val="14"/>
            <color indexed="81"/>
            <rFont val="Tahoma"/>
            <family val="2"/>
          </rPr>
          <t xml:space="preserve">
Lenders typically require the project owner to establish a reserve account prior to the commencement of operations to ensure that all O&amp;M expenses can be met even if the project has insufficient operating cash flow in a specific period due to lower than expected production, higher costs, or both. The size of the reserve account is typically 3 to 6 months of O&amp;M expenses, and includes all categories of O&amp;M expenses.
Input cannot be less than zero.
</t>
        </r>
      </text>
    </comment>
    <comment ref="I69" authorId="0" shapeId="0" xr:uid="{00000000-0006-0000-0100-00006E000000}">
      <text>
        <r>
          <rPr>
            <b/>
            <sz val="14"/>
            <color indexed="81"/>
            <rFont val="Tahoma"/>
            <family val="2"/>
          </rPr>
          <t xml:space="preserve">Note:
</t>
        </r>
        <r>
          <rPr>
            <sz val="14"/>
            <color indexed="81"/>
            <rFont val="Tahoma"/>
            <family val="2"/>
          </rPr>
          <t xml:space="preserve">Defines whether the project owner is a taxable or non-taxable entity. This determines the treatment of income taxes and other tax-related items.
</t>
        </r>
      </text>
    </comment>
    <comment ref="S69" authorId="0" shapeId="0" xr:uid="{00000000-0006-0000-0100-00006F000000}">
      <text>
        <r>
          <rPr>
            <b/>
            <sz val="14"/>
            <color indexed="81"/>
            <rFont val="Tahoma"/>
            <family val="2"/>
          </rPr>
          <t>Note:</t>
        </r>
        <r>
          <rPr>
            <sz val="14"/>
            <color indexed="81"/>
            <rFont val="Tahoma"/>
            <family val="2"/>
          </rPr>
          <t xml:space="preserve">
Calculated value based on the # months of required reserve and all annual operating expenses.
</t>
        </r>
      </text>
    </comment>
    <comment ref="I70" authorId="0" shapeId="0" xr:uid="{00000000-0006-0000-0100-000070000000}">
      <text>
        <r>
          <rPr>
            <b/>
            <sz val="14"/>
            <color indexed="81"/>
            <rFont val="Tahoma"/>
            <family val="2"/>
          </rPr>
          <t xml:space="preserve">Note:
</t>
        </r>
        <r>
          <rPr>
            <sz val="14"/>
            <color indexed="81"/>
            <rFont val="Tahoma"/>
            <family val="2"/>
          </rPr>
          <t xml:space="preserve">Defines the project's federal income tax rate, if applicable.
Input cannot be less than zero.
</t>
        </r>
      </text>
    </comment>
    <comment ref="S70" authorId="0" shapeId="0" xr:uid="{00000000-0006-0000-0100-000071000000}">
      <text>
        <r>
          <rPr>
            <b/>
            <sz val="14"/>
            <color indexed="81"/>
            <rFont val="Tahoma"/>
            <family val="2"/>
          </rPr>
          <t>Note:</t>
        </r>
        <r>
          <rPr>
            <sz val="14"/>
            <color indexed="81"/>
            <rFont val="Tahoma"/>
            <family val="2"/>
          </rPr>
          <t xml:space="preserve">
Unused reserves earn interest at this rate. Input cannot be less than zero.
</t>
        </r>
      </text>
    </comment>
    <comment ref="I71" authorId="0" shapeId="0" xr:uid="{00000000-0006-0000-0100-000072000000}">
      <text>
        <r>
          <rPr>
            <b/>
            <sz val="14"/>
            <color indexed="81"/>
            <rFont val="Tahoma"/>
            <family val="2"/>
          </rPr>
          <t xml:space="preserve">Note:
</t>
        </r>
        <r>
          <rPr>
            <sz val="14"/>
            <color indexed="81"/>
            <rFont val="Tahoma"/>
            <family val="2"/>
          </rPr>
          <t xml:space="preserve">Defines whether depreciation and PTC benefits are monetized in the period in which they are generated ("as generated" option) or whether these benefits must be delayed until the project has sufficient tax liability to use these benefits without relying on a 3rd-party investor with tax liability external to the project ("carried forward" method).
</t>
        </r>
      </text>
    </comment>
    <comment ref="I72" authorId="0" shapeId="0" xr:uid="{00000000-0006-0000-0100-000073000000}">
      <text>
        <r>
          <rPr>
            <b/>
            <sz val="14"/>
            <color indexed="81"/>
            <rFont val="Tahoma"/>
            <family val="2"/>
          </rPr>
          <t xml:space="preserve">Note:
</t>
        </r>
        <r>
          <rPr>
            <sz val="14"/>
            <color indexed="81"/>
            <rFont val="Tahoma"/>
            <family val="2"/>
          </rPr>
          <t xml:space="preserve">Defines the project's state income tax rate, if applicable.
Input cannot be less than zero.
</t>
        </r>
      </text>
    </comment>
    <comment ref="I73" authorId="0" shapeId="0" xr:uid="{00000000-0006-0000-0100-000074000000}">
      <text>
        <r>
          <rPr>
            <b/>
            <sz val="14"/>
            <color indexed="81"/>
            <rFont val="Tahoma"/>
            <family val="2"/>
          </rPr>
          <t xml:space="preserve">Note:
</t>
        </r>
        <r>
          <rPr>
            <sz val="14"/>
            <color indexed="81"/>
            <rFont val="Tahoma"/>
            <family val="2"/>
          </rPr>
          <t xml:space="preserve">Defines whether depreciation and PTC benefits are monetized in the period in which they are generated ("as generated" option) or whether these benefits must be delayed until the project has sufficient tax liability to use these benefits without relying on a 3rd-party investor with tax liability external to the project ("carried forward" method).
</t>
        </r>
      </text>
    </comment>
    <comment ref="S73" authorId="0" shapeId="0" xr:uid="{00000000-0006-0000-0100-000075000000}">
      <text>
        <r>
          <rPr>
            <b/>
            <sz val="14"/>
            <color indexed="81"/>
            <rFont val="Tahoma"/>
            <family val="2"/>
          </rPr>
          <t>Note:</t>
        </r>
        <r>
          <rPr>
            <sz val="14"/>
            <color indexed="81"/>
            <rFont val="Tahoma"/>
            <family val="2"/>
          </rPr>
          <t xml:space="preserve">
To qualify for Bonus Depreciation the property must have a recovery period of 20 years or less (under normal federal tax depreciation rules), and the project must commence operation in the year in which bonus depreciation is in effect and under the ownership of the entity claiming the deduction. 
For qualifying projects, the owner is entitled to deduct 50% of the adjusted basis of the property during the tax year the property is first placed in service. The remaining 50% of the adjusted basis of the property is depreciated over the ordinary MACRS depreciation schedule. The bonus depreciation rules do not override the depreciation limit applicable to projects qualifying for the federal ITC. Before calculating depreciation for such a project, including any bonus depreciation, the adjusted basis of the project must be reduced by one-half of the amount of the ITC for which the project qualifies. 
</t>
        </r>
      </text>
    </comment>
    <comment ref="I74" authorId="0" shapeId="0" xr:uid="{00000000-0006-0000-0100-000076000000}">
      <text>
        <r>
          <rPr>
            <b/>
            <sz val="14"/>
            <color indexed="81"/>
            <rFont val="Tahoma"/>
            <family val="2"/>
          </rPr>
          <t xml:space="preserve">Note:
</t>
        </r>
        <r>
          <rPr>
            <sz val="14"/>
            <color indexed="81"/>
            <rFont val="Tahoma"/>
            <family val="2"/>
          </rPr>
          <t xml:space="preserve">Takes into account the interaction between federal and state tax rates. This is a calculated value.
</t>
        </r>
      </text>
    </comment>
    <comment ref="S74" authorId="0" shapeId="0" xr:uid="{00000000-0006-0000-0100-000077000000}">
      <text>
        <r>
          <rPr>
            <b/>
            <sz val="14"/>
            <color indexed="81"/>
            <rFont val="Tahoma"/>
            <family val="2"/>
          </rPr>
          <t>Note:</t>
        </r>
        <r>
          <rPr>
            <sz val="14"/>
            <color indexed="81"/>
            <rFont val="Tahoma"/>
            <family val="2"/>
          </rPr>
          <t xml:space="preserve">
This input allows the user to define the bonus depreciation % applied in Year 1, if applicable.  Historically, federal bonus depreciation has been 50% of the eligible cost basis (after taking into account reductions in such cost basis for the ITC, if applicable).  
Input cannot be less than zero.
</t>
        </r>
      </text>
    </comment>
    <comment ref="I75" authorId="0" shapeId="0" xr:uid="{00000000-0006-0000-0100-000078000000}">
      <text>
        <r>
          <rPr>
            <b/>
            <sz val="14"/>
            <color indexed="81"/>
            <rFont val="Tahoma"/>
            <family val="2"/>
          </rPr>
          <t xml:space="preserve">Note:
</t>
        </r>
        <r>
          <rPr>
            <sz val="14"/>
            <color indexed="81"/>
            <rFont val="Tahoma"/>
            <family val="2"/>
          </rPr>
          <t>Depreciation accounts for the "use" of equipment for tax purposes. The depreciation inputs are provided in the table to the right and on the Complex Capital Costs tab when this option is selected.</t>
        </r>
      </text>
    </comment>
    <comment ref="AB77" authorId="0" shapeId="0" xr:uid="{00000000-0006-0000-0100-000079000000}">
      <text>
        <r>
          <rPr>
            <b/>
            <sz val="14"/>
            <color indexed="81"/>
            <rFont val="Tahoma"/>
            <family val="2"/>
          </rPr>
          <t>Note:</t>
        </r>
        <r>
          <rPr>
            <sz val="14"/>
            <color indexed="81"/>
            <rFont val="Tahoma"/>
            <family val="2"/>
          </rPr>
          <t xml:space="preserve">
When the "Simple" capital cost option is selected, the depreciation of total project costs is divided among the classifications using this row. The depreciation options associated with other levels of cost detail will be hidden.
</t>
        </r>
        <r>
          <rPr>
            <b/>
            <sz val="14"/>
            <color indexed="81"/>
            <rFont val="Tahoma"/>
            <family val="2"/>
          </rPr>
          <t xml:space="preserve">This row must sum to 100%.
</t>
        </r>
      </text>
    </comment>
    <comment ref="AB78" authorId="0" shapeId="0" xr:uid="{00000000-0006-0000-0100-00007A000000}">
      <text>
        <r>
          <rPr>
            <b/>
            <sz val="14"/>
            <color indexed="81"/>
            <rFont val="Tahoma"/>
            <family val="2"/>
          </rPr>
          <t>Note:</t>
        </r>
        <r>
          <rPr>
            <sz val="14"/>
            <color indexed="81"/>
            <rFont val="Tahoma"/>
            <family val="2"/>
          </rPr>
          <t xml:space="preserve">
When the "Intermediate" capital cost option is selected, the allocation of the specified cost category across the depreciation classifications is done using this row. The depreciation options associated with other levels of cost detail will be hidden.
</t>
        </r>
        <r>
          <rPr>
            <b/>
            <sz val="14"/>
            <color indexed="81"/>
            <rFont val="Tahoma"/>
            <family val="2"/>
          </rPr>
          <t xml:space="preserve">This row must sum to 100%.
</t>
        </r>
      </text>
    </comment>
    <comment ref="AB79" authorId="0" shapeId="0" xr:uid="{00000000-0006-0000-0100-00007B000000}">
      <text>
        <r>
          <rPr>
            <b/>
            <sz val="14"/>
            <color indexed="81"/>
            <rFont val="Tahoma"/>
            <family val="2"/>
          </rPr>
          <t>Note:</t>
        </r>
        <r>
          <rPr>
            <sz val="14"/>
            <color indexed="81"/>
            <rFont val="Tahoma"/>
            <family val="2"/>
          </rPr>
          <t xml:space="preserve">
When the "Intermediate" capital cost option is selected, the allocation of the specified cost category across the depreciation classifications is done using this row. The depreciation options associated with other levels of cost detail will be hidden.
</t>
        </r>
        <r>
          <rPr>
            <b/>
            <sz val="14"/>
            <color indexed="81"/>
            <rFont val="Tahoma"/>
            <family val="2"/>
          </rPr>
          <t xml:space="preserve">This row must sum to 100%.
</t>
        </r>
      </text>
    </comment>
    <comment ref="AB80" authorId="0" shapeId="0" xr:uid="{00000000-0006-0000-0100-00007C000000}">
      <text>
        <r>
          <rPr>
            <b/>
            <sz val="14"/>
            <color indexed="81"/>
            <rFont val="Tahoma"/>
            <family val="2"/>
          </rPr>
          <t>Note:</t>
        </r>
        <r>
          <rPr>
            <sz val="14"/>
            <color indexed="81"/>
            <rFont val="Tahoma"/>
            <family val="2"/>
          </rPr>
          <t xml:space="preserve">
When the "Intermediate" capital cost option is selected, the allocation of the specified cost category across the depreciation classifications is done using this row. The depreciation options associated with other levels of cost detail will be hidden.
</t>
        </r>
        <r>
          <rPr>
            <b/>
            <sz val="14"/>
            <color indexed="81"/>
            <rFont val="Tahoma"/>
            <family val="2"/>
          </rPr>
          <t xml:space="preserve">This row must sum to 100%.
</t>
        </r>
      </text>
    </comment>
    <comment ref="AB81" authorId="0" shapeId="0" xr:uid="{00000000-0006-0000-0100-00007D000000}">
      <text>
        <r>
          <rPr>
            <b/>
            <sz val="14"/>
            <color indexed="81"/>
            <rFont val="Tahoma"/>
            <family val="2"/>
          </rPr>
          <t>Note:</t>
        </r>
        <r>
          <rPr>
            <sz val="14"/>
            <color indexed="81"/>
            <rFont val="Tahoma"/>
            <family val="2"/>
          </rPr>
          <t xml:space="preserve">
When the "Intermediate" capital cost option is selected, the allocation of the specified cost category across the depreciation classifications is done using this row. The depreciation options associated with other levels of cost detail will be hidden.
</t>
        </r>
        <r>
          <rPr>
            <b/>
            <sz val="14"/>
            <color indexed="81"/>
            <rFont val="Tahoma"/>
            <family val="2"/>
          </rPr>
          <t xml:space="preserve">This row must sum to 100%.
</t>
        </r>
      </text>
    </comment>
    <comment ref="AB82" authorId="0" shapeId="0" xr:uid="{00000000-0006-0000-0100-00007E000000}">
      <text>
        <r>
          <rPr>
            <b/>
            <sz val="14"/>
            <color indexed="81"/>
            <rFont val="Tahoma"/>
            <family val="2"/>
          </rPr>
          <t>Note:</t>
        </r>
        <r>
          <rPr>
            <sz val="14"/>
            <color indexed="81"/>
            <rFont val="Tahoma"/>
            <family val="2"/>
          </rPr>
          <t xml:space="preserve">
When the "Intermediate" capital cost option is selected, the allocation of the specified cost category across the depreciation classifications is done using this row. The depreciation options associated with other levels of cost detail will be hidden.
</t>
        </r>
        <r>
          <rPr>
            <b/>
            <sz val="14"/>
            <color indexed="81"/>
            <rFont val="Tahoma"/>
            <family val="2"/>
          </rPr>
          <t xml:space="preserve">This row must sum to 100%.
</t>
        </r>
      </text>
    </comment>
    <comment ref="AB83" authorId="0" shapeId="0" xr:uid="{00000000-0006-0000-0100-00007F000000}">
      <text>
        <r>
          <rPr>
            <b/>
            <sz val="14"/>
            <color indexed="81"/>
            <rFont val="Tahoma"/>
            <family val="2"/>
          </rPr>
          <t>Note:</t>
        </r>
        <r>
          <rPr>
            <sz val="14"/>
            <color indexed="81"/>
            <rFont val="Tahoma"/>
            <family val="2"/>
          </rPr>
          <t xml:space="preserve">
When the "Complex" capital cost option is selected, each line items is assigned its own depreciation classification using a drop-down menu on the Complex Capital Costs tab.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Jason Gifford</author>
  </authors>
  <commentList>
    <comment ref="B5" authorId="0" shapeId="0" xr:uid="{00000000-0006-0000-0200-000001000000}">
      <text>
        <r>
          <rPr>
            <b/>
            <sz val="12"/>
            <color indexed="81"/>
            <rFont val="Tahoma"/>
            <family val="2"/>
          </rPr>
          <t>Note:</t>
        </r>
        <r>
          <rPr>
            <sz val="12"/>
            <color indexed="81"/>
            <rFont val="Tahoma"/>
            <family val="2"/>
          </rPr>
          <t xml:space="preserve">
One of the CREST model development objectives was to incorporate maximum functionality and flexibility, while maintaining a macro-free file.
As a result, the model calculates using a series of three data tables which converge onto the COE within several one-hundredths of a cent.
Because the three data tables rely on one another to calculate the COE, and the "Automatic" calculation setting only re-calculates the first data table under certain circumstances, it is sometimes necessary to press F9 more than once in order for the calculation to cascade through each of the three data tables.
If "#N/A" appears, F9 should be pressed until the calculated COE achieves it's final value.
</t>
        </r>
      </text>
    </comment>
    <comment ref="B14" authorId="0" shapeId="0" xr:uid="{00000000-0006-0000-0200-000002000000}">
      <text>
        <r>
          <rPr>
            <b/>
            <sz val="14"/>
            <color indexed="81"/>
            <rFont val="Tahoma"/>
            <family val="2"/>
          </rPr>
          <t xml:space="preserve">NOTE:
</t>
        </r>
        <r>
          <rPr>
            <sz val="14"/>
            <color indexed="81"/>
            <rFont val="Tahoma"/>
            <family val="2"/>
          </rPr>
          <t>The Nominal Levelized Cost of Energy (LCOE)
is the single, fixed rate with the same economic impact over the life of the project as the Year-One value escalated over time.  When a 0% escalator is assumed, the "Year-One COE" and "LCOE" are the same.
Both the Year One COE and the LCOE reflect the tariff rate necessary to achieve the project investor's required after tax rate of return, taking into account all applicable incentives and any market value of production assumed after the tariff expires and before the end of the project's useful life.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Jason Gifford</author>
  </authors>
  <commentList>
    <comment ref="C4" authorId="0" shapeId="0" xr:uid="{00000000-0006-0000-0300-000001000000}">
      <text>
        <r>
          <rPr>
            <b/>
            <sz val="14"/>
            <color indexed="81"/>
            <rFont val="Tahoma"/>
            <family val="2"/>
          </rPr>
          <t xml:space="preserve">Note:
</t>
        </r>
        <r>
          <rPr>
            <sz val="14"/>
            <color indexed="81"/>
            <rFont val="Tahoma"/>
            <family val="2"/>
          </rPr>
          <t>During the FIT contract period, this column represents the feed-in tariff rate, including escalation if applicable.  After the FIT contract ends, this column represents the value of energy, capacity, renewable energy credits, or other attributes as defined and enterred by the user, if applicable.</t>
        </r>
      </text>
    </comment>
    <comment ref="D4" authorId="0" shapeId="0" xr:uid="{00000000-0006-0000-0300-000002000000}">
      <text>
        <r>
          <rPr>
            <sz val="8"/>
            <color indexed="81"/>
            <rFont val="Tahoma"/>
            <family val="2"/>
          </rPr>
          <t xml:space="preserve">
</t>
        </r>
        <r>
          <rPr>
            <b/>
            <sz val="14"/>
            <color indexed="81"/>
            <rFont val="Tahoma"/>
            <family val="2"/>
          </rPr>
          <t>Note:</t>
        </r>
        <r>
          <rPr>
            <sz val="8"/>
            <color indexed="81"/>
            <rFont val="Tahoma"/>
            <family val="2"/>
          </rPr>
          <t xml:space="preserve">
</t>
        </r>
        <r>
          <rPr>
            <sz val="14"/>
            <color indexed="81"/>
            <rFont val="Tahoma"/>
            <family val="2"/>
          </rPr>
          <t>includes performance-based incentives.</t>
        </r>
      </text>
    </comment>
    <comment ref="E4" authorId="0" shapeId="0" xr:uid="{00000000-0006-0000-0300-000003000000}">
      <text>
        <r>
          <rPr>
            <b/>
            <sz val="14"/>
            <color indexed="81"/>
            <rFont val="Tahoma"/>
            <family val="2"/>
          </rPr>
          <t>Note:</t>
        </r>
        <r>
          <rPr>
            <sz val="14"/>
            <color indexed="81"/>
            <rFont val="Tahoma"/>
            <family val="2"/>
          </rPr>
          <t xml:space="preserve">
Includes all land lease, royalty and local tax or PILOT.
</t>
        </r>
      </text>
    </comment>
    <comment ref="F4" authorId="0" shapeId="0" xr:uid="{00000000-0006-0000-0300-000004000000}">
      <text>
        <r>
          <rPr>
            <b/>
            <sz val="12"/>
            <color indexed="81"/>
            <rFont val="Tahoma"/>
            <family val="2"/>
          </rPr>
          <t xml:space="preserve">Note:
</t>
        </r>
        <r>
          <rPr>
            <sz val="12"/>
            <color indexed="81"/>
            <rFont val="Tahoma"/>
            <family val="2"/>
          </rPr>
          <t>Includes principle and interest, if debt is used.</t>
        </r>
      </text>
    </comment>
    <comment ref="G4" authorId="0" shapeId="0" xr:uid="{00000000-0006-0000-0300-000005000000}">
      <text>
        <r>
          <rPr>
            <b/>
            <sz val="14"/>
            <color indexed="81"/>
            <rFont val="Tahoma"/>
            <family val="2"/>
          </rPr>
          <t xml:space="preserve">Note:
</t>
        </r>
        <r>
          <rPr>
            <sz val="14"/>
            <color indexed="81"/>
            <rFont val="Tahoma"/>
            <family val="2"/>
          </rPr>
          <t xml:space="preserve">Positive values denote net withdrawal from reserve accounts as reserved capital is returned to project owners.
</t>
        </r>
      </text>
    </comment>
    <comment ref="M4" authorId="0" shapeId="0" xr:uid="{00000000-0006-0000-0300-000006000000}">
      <text>
        <r>
          <rPr>
            <b/>
            <sz val="14"/>
            <color indexed="81"/>
            <rFont val="Tahoma"/>
            <family val="2"/>
          </rPr>
          <t xml:space="preserve">Note:
</t>
        </r>
        <r>
          <rPr>
            <sz val="14"/>
            <color indexed="81"/>
            <rFont val="Tahoma"/>
            <family val="2"/>
          </rPr>
          <t xml:space="preserve">This is the annual cash flow disbursed to the project's equity investors, after tax.
</t>
        </r>
      </text>
    </comment>
    <comment ref="N4" authorId="0" shapeId="0" xr:uid="{00000000-0006-0000-0300-000007000000}">
      <text>
        <r>
          <rPr>
            <b/>
            <sz val="14"/>
            <color indexed="81"/>
            <rFont val="Tahoma"/>
            <family val="2"/>
          </rPr>
          <t xml:space="preserve">Note:
</t>
        </r>
        <r>
          <rPr>
            <sz val="14"/>
            <color indexed="81"/>
            <rFont val="Tahoma"/>
            <family val="2"/>
          </rPr>
          <t xml:space="preserve">This is the cumulative benefit of annual net cash flows.  The year in which the values become positive represents the return "of" the equity investor's original cash contribution.  The equity investor does not earn its return "on" investment until the required rate is met - which in this model will be in the final project year.
</t>
        </r>
      </text>
    </comment>
    <comment ref="O4" authorId="0" shapeId="0" xr:uid="{00000000-0006-0000-0300-000008000000}">
      <text>
        <r>
          <rPr>
            <b/>
            <sz val="14"/>
            <color indexed="81"/>
            <rFont val="Tahoma"/>
            <family val="2"/>
          </rPr>
          <t xml:space="preserve">Note:
</t>
        </r>
        <r>
          <rPr>
            <sz val="14"/>
            <color indexed="81"/>
            <rFont val="Tahoma"/>
            <family val="2"/>
          </rPr>
          <t xml:space="preserve">This is a running tally on the equity investor's after tax internal rate of return.
</t>
        </r>
      </text>
    </comment>
    <comment ref="P4" authorId="0" shapeId="0" xr:uid="{00000000-0006-0000-0300-000009000000}">
      <text>
        <r>
          <rPr>
            <b/>
            <sz val="14"/>
            <color indexed="81"/>
            <rFont val="Tahoma"/>
            <family val="2"/>
          </rPr>
          <t xml:space="preserve">Note:
</t>
        </r>
        <r>
          <rPr>
            <sz val="14"/>
            <color indexed="81"/>
            <rFont val="Tahoma"/>
            <family val="2"/>
          </rPr>
          <t xml:space="preserve">The Debt Service Coverage Ratio is calculated by dividing the sum of the annual principal and interest payment into that year's operating cash flow.  Lenders will require the DSCR to demonstrate the project's ability to easily meet its annual debt service obligation.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Jason Gifford</author>
  </authors>
  <commentList>
    <comment ref="E60" authorId="0" shapeId="0" xr:uid="{00000000-0006-0000-0400-000001000000}">
      <text>
        <r>
          <rPr>
            <b/>
            <sz val="14"/>
            <color indexed="81"/>
            <rFont val="Tahoma"/>
            <family val="2"/>
          </rPr>
          <t xml:space="preserve">NOTE:
</t>
        </r>
        <r>
          <rPr>
            <sz val="14"/>
            <color indexed="81"/>
            <rFont val="Tahoma"/>
            <family val="2"/>
          </rPr>
          <t>If operating loss carry-forward is NOT applied, the values in the "Taxable Income" lines should be the same.</t>
        </r>
        <r>
          <rPr>
            <sz val="8"/>
            <color indexed="81"/>
            <rFont val="Tahoma"/>
            <family val="2"/>
          </rPr>
          <t xml:space="preserve">
</t>
        </r>
      </text>
    </comment>
    <comment ref="C98" authorId="0" shapeId="0" xr:uid="{00000000-0006-0000-0400-000002000000}">
      <text>
        <r>
          <rPr>
            <b/>
            <sz val="14"/>
            <color indexed="81"/>
            <rFont val="Tahoma"/>
            <family val="2"/>
          </rPr>
          <t>Note:</t>
        </r>
        <r>
          <rPr>
            <sz val="14"/>
            <color indexed="81"/>
            <rFont val="Tahoma"/>
            <family val="2"/>
          </rPr>
          <t xml:space="preserve">
Adjustments include (if applicable): reduction of cost basis by 50% of ITC (or ITC Cash Grant), reduction of cost basis for other non-taxable grants, and allocation of Bonus Depreciation. </t>
        </r>
      </text>
    </comment>
    <comment ref="E98" authorId="0" shapeId="0" xr:uid="{00000000-0006-0000-0400-000003000000}">
      <text>
        <r>
          <rPr>
            <b/>
            <sz val="14"/>
            <color indexed="81"/>
            <rFont val="Tahoma"/>
            <family val="2"/>
          </rPr>
          <t xml:space="preserve">Note:
</t>
        </r>
        <r>
          <rPr>
            <sz val="14"/>
            <color indexed="81"/>
            <rFont val="Tahoma"/>
            <family val="2"/>
          </rPr>
          <t xml:space="preserve">Adjustments include (if applicable): reduction of cost basis by 50% of ITC (or ITC Cash Grant), reduction of cost basis for other non-taxable grants, and allocation of Bonus Depreciation. </t>
        </r>
      </text>
    </comment>
    <comment ref="G179" authorId="0" shapeId="0" xr:uid="{00000000-0006-0000-0400-000004000000}">
      <text>
        <r>
          <rPr>
            <b/>
            <sz val="12"/>
            <color indexed="81"/>
            <rFont val="Tahoma"/>
            <family val="2"/>
          </rPr>
          <t>Note:</t>
        </r>
        <r>
          <rPr>
            <sz val="12"/>
            <color indexed="81"/>
            <rFont val="Tahoma"/>
            <family val="2"/>
          </rPr>
          <t xml:space="preserve">
ITC earned in first quarter of operation assumed eligible to offset tax on state income taxes saved in first operating year, when applicable. Remainder of ITC carried forward.
</t>
        </r>
      </text>
    </comment>
    <comment ref="B206" authorId="0" shapeId="0" xr:uid="{00000000-0006-0000-0400-000005000000}">
      <text>
        <r>
          <rPr>
            <sz val="14"/>
            <color indexed="81"/>
            <rFont val="Tahoma"/>
            <family val="2"/>
          </rPr>
          <t>If decommissioning paid for through operations (e.g. a decommissioning reserve account) then the "Ending Balance" in the project's final operating year should equal the total decommission reserve requirement specified on the inputs tab; if decommissioning is paid for from the salvage value of the equipment, then the "Ending Balance" in the project's final operating year should be zero.</t>
        </r>
      </text>
    </comment>
  </commentList>
</comments>
</file>

<file path=xl/sharedStrings.xml><?xml version="1.0" encoding="utf-8"?>
<sst xmlns="http://schemas.openxmlformats.org/spreadsheetml/2006/main" count="969" uniqueCount="469">
  <si>
    <t>$</t>
  </si>
  <si>
    <t>%</t>
  </si>
  <si>
    <t>kWh</t>
  </si>
  <si>
    <t>Production</t>
  </si>
  <si>
    <t>years</t>
  </si>
  <si>
    <t>Construction Period</t>
  </si>
  <si>
    <t>Federal Income Tax Rate</t>
  </si>
  <si>
    <t>State Income Tax Rate</t>
  </si>
  <si>
    <t>?</t>
  </si>
  <si>
    <t>Select Cost Level of Detail</t>
  </si>
  <si>
    <t>Operations &amp; Maintenance</t>
  </si>
  <si>
    <t>$/yr</t>
  </si>
  <si>
    <t>Operating Expenses</t>
  </si>
  <si>
    <t>Yes</t>
  </si>
  <si>
    <t>Technology Options</t>
  </si>
  <si>
    <t>Project Size and Performance</t>
  </si>
  <si>
    <t>Is owner a taxable entity?</t>
  </si>
  <si>
    <t>ITC utilization factor, if applicable</t>
  </si>
  <si>
    <t>Notes</t>
  </si>
  <si>
    <t>Check</t>
  </si>
  <si>
    <t>5-year MACRS</t>
  </si>
  <si>
    <t>15-year MACRS</t>
  </si>
  <si>
    <t>15-year SL</t>
  </si>
  <si>
    <t>20-year SL</t>
  </si>
  <si>
    <t>Non-Depreciable</t>
  </si>
  <si>
    <t>Federal Incentives</t>
  </si>
  <si>
    <t>Utilization Factor, if applicable</t>
  </si>
  <si>
    <t>Cost Category</t>
  </si>
  <si>
    <t>year</t>
  </si>
  <si>
    <t>Generator Nameplate Capacity</t>
  </si>
  <si>
    <t>Effective Income Tax Rate</t>
  </si>
  <si>
    <t>State ITC realization period</t>
  </si>
  <si>
    <t>yrs</t>
  </si>
  <si>
    <t>PBI Duration</t>
  </si>
  <si>
    <t>Permanent Financing</t>
  </si>
  <si>
    <t>Interest Rate (Annual)</t>
  </si>
  <si>
    <t>months</t>
  </si>
  <si>
    <t>Interest During Construction</t>
  </si>
  <si>
    <t>Initial Funding of Reserve Accounts</t>
  </si>
  <si>
    <t>Debt Service Reserve</t>
  </si>
  <si>
    <t># of months of O&amp;M Expense</t>
  </si>
  <si>
    <t>Initial O&amp;M and WC Reserve</t>
  </si>
  <si>
    <t>Initial Debt Service Reserve</t>
  </si>
  <si>
    <t># of months of Debt Service</t>
  </si>
  <si>
    <t>Decommissioning Reserve</t>
  </si>
  <si>
    <t>Reserves Funded from Operations</t>
  </si>
  <si>
    <t>Fund from Operations or Salvage Value?</t>
  </si>
  <si>
    <t>Reserve Requirement</t>
  </si>
  <si>
    <t>Lender's Fee (% of total borrowing)</t>
  </si>
  <si>
    <t>Other Equity &amp; Debt Closing Costs</t>
  </si>
  <si>
    <t>Inputs Summary</t>
  </si>
  <si>
    <t>Outputs Summary</t>
  </si>
  <si>
    <t>Years</t>
  </si>
  <si>
    <t>¢/kWh</t>
  </si>
  <si>
    <t>Annual Project Cash Flows, Returns &amp; Other Metrics</t>
  </si>
  <si>
    <t>Revenue</t>
  </si>
  <si>
    <t>Year</t>
  </si>
  <si>
    <t>Cumulative Cash Flow</t>
  </si>
  <si>
    <t>After Tax IRR</t>
  </si>
  <si>
    <t>Debt Service</t>
  </si>
  <si>
    <t>Coverage</t>
  </si>
  <si>
    <t>Current Model Run</t>
  </si>
  <si>
    <t>units</t>
  </si>
  <si>
    <t>O&amp;M Reserve/Working Capital</t>
  </si>
  <si>
    <t>1st Equipment Replacement</t>
  </si>
  <si>
    <t xml:space="preserve">2nd Equipment Replacement </t>
  </si>
  <si>
    <t>Insurance, Yr 1 (% of Total Cost)</t>
  </si>
  <si>
    <t>COD</t>
  </si>
  <si>
    <t>Production Degradation Factor</t>
  </si>
  <si>
    <t>Project Expenses</t>
  </si>
  <si>
    <t>Project Administration</t>
  </si>
  <si>
    <t>Insurance</t>
  </si>
  <si>
    <t>Operating Income After Interest Expense</t>
  </si>
  <si>
    <t>Pre-Tax Cash Flow to Equity</t>
  </si>
  <si>
    <t>Project Cash Flows</t>
  </si>
  <si>
    <t>Running IRR (Cash Only)</t>
  </si>
  <si>
    <t>Supporting Calculations</t>
  </si>
  <si>
    <t>5 Year MACRS</t>
  </si>
  <si>
    <t>15 Year MACRS</t>
  </si>
  <si>
    <t>20 Year MACRS</t>
  </si>
  <si>
    <t>20 Year SL</t>
  </si>
  <si>
    <t>39 Year SL</t>
  </si>
  <si>
    <t>Total Project Cost, adj for ITC/Grant if applicable</t>
  </si>
  <si>
    <t xml:space="preserve">Total  </t>
  </si>
  <si>
    <t xml:space="preserve">Debt Service:            </t>
  </si>
  <si>
    <t>Size of Debt</t>
  </si>
  <si>
    <t>Debt Sizing (Defined Capital Structure Method)</t>
  </si>
  <si>
    <t>Installed Cost (excluding cost of financing)</t>
  </si>
  <si>
    <t>Defined Debt-to-Total-Capital</t>
  </si>
  <si>
    <t>Beginning Balance</t>
  </si>
  <si>
    <t>Drawdowns</t>
  </si>
  <si>
    <t>Ending Balance</t>
  </si>
  <si>
    <t>Interest</t>
  </si>
  <si>
    <t>Principal</t>
  </si>
  <si>
    <t>Structured Debt Service Payment</t>
  </si>
  <si>
    <t>Depreciation Allocation</t>
  </si>
  <si>
    <t>% Eligible for ITC</t>
  </si>
  <si>
    <t>placeholder</t>
  </si>
  <si>
    <t>Click Here to Return to Inputs Worksheet</t>
  </si>
  <si>
    <t>Substation</t>
  </si>
  <si>
    <t>Reserves &amp; Financing Costs</t>
  </si>
  <si>
    <t>Variable O&amp;M Expense, Yr 1</t>
  </si>
  <si>
    <t xml:space="preserve">¢/kWh </t>
  </si>
  <si>
    <t>see table ==&gt;</t>
  </si>
  <si>
    <t>Tariff Rate &amp; Cash Incentives</t>
  </si>
  <si>
    <t>Percentage of Tariff Escalated</t>
  </si>
  <si>
    <t>Tariff Rate Escalator, if applicable</t>
  </si>
  <si>
    <t>Revenue from Tariff</t>
  </si>
  <si>
    <t>Federal Cash Incentive Rate</t>
  </si>
  <si>
    <t xml:space="preserve">Federal Cash Incentive  </t>
  </si>
  <si>
    <t>State Cash Incentive Rate</t>
  </si>
  <si>
    <t xml:space="preserve">State Cash Incentive  </t>
  </si>
  <si>
    <t>Operating Expense Inflation Factor</t>
  </si>
  <si>
    <t>Fixed O&amp;M Expense</t>
  </si>
  <si>
    <t>Variable O&amp;M Expense</t>
  </si>
  <si>
    <t>Property Tax or Payment in Lieu of Taxes (PILOT)</t>
  </si>
  <si>
    <t>Royalties</t>
  </si>
  <si>
    <t>Royalties (% of revenue)</t>
  </si>
  <si>
    <t>Project Revenue, All Sources</t>
  </si>
  <si>
    <t xml:space="preserve">Total Operating Expenses </t>
  </si>
  <si>
    <t>EBITDA (Operating Income)</t>
  </si>
  <si>
    <t>Principal Repayments</t>
  </si>
  <si>
    <t>Loan Amortization</t>
  </si>
  <si>
    <t xml:space="preserve">Loan Repayment </t>
  </si>
  <si>
    <t>Repayment of Loan Principal</t>
  </si>
  <si>
    <t>Loan Interest Expense</t>
  </si>
  <si>
    <t>Net Pre-Tax Cash Flow to Equity</t>
  </si>
  <si>
    <t>Project/Contract Year</t>
  </si>
  <si>
    <t>Depreciation Schedules, Half-Year Convention</t>
  </si>
  <si>
    <t>7 Year MACRS</t>
  </si>
  <si>
    <t>5 Year SL</t>
  </si>
  <si>
    <t>15 Year SL</t>
  </si>
  <si>
    <t>7-year MACRS</t>
  </si>
  <si>
    <t>20-year MACRS</t>
  </si>
  <si>
    <t>5-year SL</t>
  </si>
  <si>
    <t>39-year SL</t>
  </si>
  <si>
    <t>Allocation</t>
  </si>
  <si>
    <t xml:space="preserve">ITC or Cash Grant  </t>
  </si>
  <si>
    <t>check</t>
  </si>
  <si>
    <t>Total Installed Cost</t>
  </si>
  <si>
    <t>No</t>
  </si>
  <si>
    <t>PBI Rate</t>
  </si>
  <si>
    <t>Federal Income Taxes Saved / (Paid), before ITC/PTC</t>
  </si>
  <si>
    <t>Running IRR (After Tax)</t>
  </si>
  <si>
    <t>After-Tax Cash Flow to Equity</t>
  </si>
  <si>
    <t>Cash Benefit of State ITC and/or PTC</t>
  </si>
  <si>
    <t>PBI Escalation Rate</t>
  </si>
  <si>
    <t>Federal PBI Escalator, if applicable</t>
  </si>
  <si>
    <t>State PBI Escalator, if applicable</t>
  </si>
  <si>
    <t>Reserve Accounts:</t>
  </si>
  <si>
    <t>Interest on All Reserves</t>
  </si>
  <si>
    <t>Annual Debt Service Coverage Ratio</t>
  </si>
  <si>
    <t>Depreciation:</t>
  </si>
  <si>
    <t>Annual Depreciation Expense, Initial Installation</t>
  </si>
  <si>
    <t>Annual Depreciation Expense, Repairs &amp; Replacements</t>
  </si>
  <si>
    <t>1st Replacement</t>
  </si>
  <si>
    <t>2nd Replacement</t>
  </si>
  <si>
    <t>Depreciation Timing</t>
  </si>
  <si>
    <t>Depreciation Expense</t>
  </si>
  <si>
    <t>Tax</t>
  </si>
  <si>
    <t>After Tax Cash Flow</t>
  </si>
  <si>
    <t>Reserves</t>
  </si>
  <si>
    <t>PBI Utilization Factor, if applicable</t>
  </si>
  <si>
    <t>Capital Costs</t>
  </si>
  <si>
    <t>Generation Equipment</t>
  </si>
  <si>
    <t>Depreciation Classification</t>
  </si>
  <si>
    <t>Balance of Plant</t>
  </si>
  <si>
    <t>Interconnection</t>
  </si>
  <si>
    <t>Development Costs &amp; Fee</t>
  </si>
  <si>
    <t>Sample inputs provided on this tab are illustrative only, all inputs must be provided and validated by the user.</t>
  </si>
  <si>
    <t>Total Generation Equipment Cost</t>
  </si>
  <si>
    <t>Total Project Costs</t>
  </si>
  <si>
    <t>Total Balance of Plant Cost</t>
  </si>
  <si>
    <t>Total Interconnection Cost</t>
  </si>
  <si>
    <t>$ Eligible for ITC</t>
  </si>
  <si>
    <t>Lender Fee</t>
  </si>
  <si>
    <t>Initial Funding of Debt Service &amp; Working Capital/O&amp;M Reserves</t>
  </si>
  <si>
    <t>Total Development Costs &amp; Fees</t>
  </si>
  <si>
    <t>Access Roads</t>
  </si>
  <si>
    <t>Site Selection &amp; Evaluation</t>
  </si>
  <si>
    <t>Permitting</t>
  </si>
  <si>
    <t>Engineering/Design</t>
  </si>
  <si>
    <t>Site Acquisition Cost</t>
  </si>
  <si>
    <t>Other Development Costs</t>
  </si>
  <si>
    <t>Resource Analysis</t>
  </si>
  <si>
    <t>Commissioning</t>
  </si>
  <si>
    <t>Metering</t>
  </si>
  <si>
    <t>Transformer</t>
  </si>
  <si>
    <t>Utility System Improvements</t>
  </si>
  <si>
    <t>Other Closing Costs</t>
  </si>
  <si>
    <t>Other Grants or Rebates</t>
  </si>
  <si>
    <t>State Income Taxes Saved / (Paid), before ITC/PTC</t>
  </si>
  <si>
    <t>Title:</t>
  </si>
  <si>
    <t>Introduction:</t>
  </si>
  <si>
    <t>Yr 1 COE</t>
  </si>
  <si>
    <t>Interest Earned on Reserve Accounts</t>
  </si>
  <si>
    <t>O&amp;M/Working Capital Reserve</t>
  </si>
  <si>
    <t>Interest on Reserves</t>
  </si>
  <si>
    <t>Annual Contributions to/(Liquidations of) Reserves</t>
  </si>
  <si>
    <t>(Contributions to), and Liquidation of, Reserve Accounts</t>
  </si>
  <si>
    <t>Adjustment(s) for Major Equipment Replacement(s)</t>
  </si>
  <si>
    <t>Annual Depreciation Benefit</t>
  </si>
  <si>
    <t>Model Architecture:</t>
  </si>
  <si>
    <t>Black Text is strictly reserved for cells that are calculated automatically . These cells should not be modified.</t>
  </si>
  <si>
    <t>Pass/Fail</t>
  </si>
  <si>
    <t>Min DSCR</t>
  </si>
  <si>
    <t>Taxable Entity? (turns on/off ITC and depreciation input cells)</t>
  </si>
  <si>
    <t>Construction Financing</t>
  </si>
  <si>
    <t>Federal PTC (as generated)</t>
  </si>
  <si>
    <t>State PTC (as generated)</t>
  </si>
  <si>
    <t>Version:</t>
  </si>
  <si>
    <t>Entering Inputs:  Model Conventions</t>
  </si>
  <si>
    <t>In the "Check" column, green cells are used to indicate that the user has entered an acceptable value in a required field.</t>
  </si>
  <si>
    <t>Annual Escalation of Year-One COE</t>
  </si>
  <si>
    <t>Annual Production Degradation</t>
  </si>
  <si>
    <t>% of Year-One Tariff Rate Escalated</t>
  </si>
  <si>
    <t>Project Management Yr 1</t>
  </si>
  <si>
    <t xml:space="preserve">ITC Amount </t>
  </si>
  <si>
    <t>Paste Results of Multiple Model Runs Below</t>
  </si>
  <si>
    <t>[Insert Scenario Name]</t>
  </si>
  <si>
    <t>Results of multiple scenarios may be compared here by using the "copy" and "paste special - values" feature to transfer values from column D to columns F through O</t>
  </si>
  <si>
    <t>Interest Rate on Term Debt</t>
  </si>
  <si>
    <t>Initial Period ends last day of:</t>
  </si>
  <si>
    <t>O&amp;M Cost Inflation, thereafter</t>
  </si>
  <si>
    <t>O&amp;M Cost Inflation, initial period</t>
  </si>
  <si>
    <t>Fixed O&amp;M Expense, Yr 1</t>
  </si>
  <si>
    <t>Project Useful Life</t>
  </si>
  <si>
    <t>Value of energy, capacity &amp; RECs, Yr 1</t>
  </si>
  <si>
    <t>Market Value Escalation Rate</t>
  </si>
  <si>
    <t>Year-by-Year Inputs for Market Value of Production, if applicable</t>
  </si>
  <si>
    <t>Complex Inputs for Deriving Total Project Capital Cost, if applicable</t>
  </si>
  <si>
    <t>* Includes energy, capacity &amp; RECs</t>
  </si>
  <si>
    <t>Market Revenue</t>
  </si>
  <si>
    <t>Post-Tariff Market Value of Production</t>
  </si>
  <si>
    <t>Required Minimum Annual DSCR</t>
  </si>
  <si>
    <t>Actual Minimum DSCR, occurs in →</t>
  </si>
  <si>
    <t xml:space="preserve">ITC or Cash Grant Amount </t>
  </si>
  <si>
    <t>Tariff or Market Value</t>
  </si>
  <si>
    <t>Project</t>
  </si>
  <si>
    <t>Summary Results</t>
  </si>
  <si>
    <t>Taxable Income / (Operating Loss)</t>
  </si>
  <si>
    <t>Operating Loss Carry-Forward, if applicable:</t>
  </si>
  <si>
    <t>Utilization of Operating Loss Carry-Forward</t>
  </si>
  <si>
    <t>Operating Loss Carry-Forward, Beginning Balance</t>
  </si>
  <si>
    <t>Additional Operating Loss Carried-Forward</t>
  </si>
  <si>
    <t>Operating Loss Carry-Forward, Ending Balance</t>
  </si>
  <si>
    <t>Taxable Income with Operating Loss Carry-Forward</t>
  </si>
  <si>
    <t>Annual Depreciation Expense</t>
  </si>
  <si>
    <t>Federal Tax Credit Benefits, if applicable:</t>
  </si>
  <si>
    <t>Federal ITC (as generated)</t>
  </si>
  <si>
    <t>State ITC (as generated)</t>
  </si>
  <si>
    <t>Applicable Tax Credits, as generated</t>
  </si>
  <si>
    <t>Carry-Forward Scenario:</t>
  </si>
  <si>
    <t>State Tax Credit Benefits, if applicable:</t>
  </si>
  <si>
    <t>Performance, Cost, Operating, Tax &amp; Financing Inputs</t>
  </si>
  <si>
    <t>State Grants Treated as Taxable Income?</t>
  </si>
  <si>
    <t>Federal Grants Treated as Taxable Income?</t>
  </si>
  <si>
    <t>Annual Property Tax Adjustment Factor</t>
  </si>
  <si>
    <t>Property Tax or PILOT, Yr 1</t>
  </si>
  <si>
    <t>% Debt (% of hard costs) (mortgage-style amort.)</t>
  </si>
  <si>
    <t>Senior Debt (funds portion of hard costs)</t>
  </si>
  <si>
    <t>Equity (funds balance of hard costs + all soft costs)</t>
  </si>
  <si>
    <t>Summary of Sources of Funding for Total Installed Cost</t>
  </si>
  <si>
    <t>Actual Average DSCR</t>
  </si>
  <si>
    <t>Required Average DSCR</t>
  </si>
  <si>
    <t>Select Market Value Forecast Methodology</t>
  </si>
  <si>
    <t>Project Year</t>
  </si>
  <si>
    <t>1st Replacement Cost  ($ in year replaced)</t>
  </si>
  <si>
    <t>2nd Replacement Cost ($ in year replaced)</t>
  </si>
  <si>
    <t>Bundled* Market Value of Production (¢/kWh)</t>
  </si>
  <si>
    <t>Avg. DSCR</t>
  </si>
  <si>
    <t>Tariff Rate (Fixed Portion)</t>
  </si>
  <si>
    <t>Tariff Rate (Total)</t>
  </si>
  <si>
    <t>Tariff Rate (Escalating Portion)</t>
  </si>
  <si>
    <t>Equity Investment</t>
  </si>
  <si>
    <t>Pre-Tax Cash Flow</t>
  </si>
  <si>
    <t>Expenses + Cash Obligations</t>
  </si>
  <si>
    <t>Graph Data</t>
  </si>
  <si>
    <t>Operating the Model:</t>
  </si>
  <si>
    <t>Understanding the Results:</t>
  </si>
  <si>
    <t>Cash Benefit of Federal ITC, Cash Grant, or PTC</t>
  </si>
  <si>
    <t>Net Capacity Factor, Yr 1</t>
  </si>
  <si>
    <t>Target After-Tax Equity IRR</t>
  </si>
  <si>
    <t>COE Data Tables</t>
  </si>
  <si>
    <t>NPV</t>
  </si>
  <si>
    <t>(cents/kWh)</t>
  </si>
  <si>
    <t>Range Min</t>
  </si>
  <si>
    <t>Range Max</t>
  </si>
  <si>
    <t>Calculation of COE when tax benefits are "Carried Forward"</t>
  </si>
  <si>
    <t>Production, Yr 1</t>
  </si>
  <si>
    <t>Tax Benefit Carry-Forward, Beginning Balance</t>
  </si>
  <si>
    <t>Additional Tax Benefit Carry-Forward</t>
  </si>
  <si>
    <t>Utilization of Tax Benefit Carry-Forward</t>
  </si>
  <si>
    <t>Tax Benefit Carry-Forward, Ending Balance</t>
  </si>
  <si>
    <r>
      <t xml:space="preserve">Taxable Income </t>
    </r>
    <r>
      <rPr>
        <sz val="12"/>
        <rFont val="Arial"/>
        <family val="2"/>
      </rPr>
      <t>(operating loss used as generated)</t>
    </r>
  </si>
  <si>
    <r>
      <t>Taxable Income (Federal)</t>
    </r>
    <r>
      <rPr>
        <sz val="12"/>
        <rFont val="Arial"/>
        <family val="2"/>
      </rPr>
      <t>,           operating loss treatment ==&gt;&gt;</t>
    </r>
  </si>
  <si>
    <r>
      <t>Taxable Income (State),</t>
    </r>
    <r>
      <rPr>
        <sz val="12"/>
        <rFont val="Arial"/>
        <family val="2"/>
      </rPr>
      <t xml:space="preserve">               operating loss treatment ==&gt;&gt;</t>
    </r>
  </si>
  <si>
    <t>Federal Tax Benefits used as generated or carried forward?</t>
  </si>
  <si>
    <t>State Tax Benefits used as generated or carried forward?</t>
  </si>
  <si>
    <t>Federal Carry-Forward</t>
  </si>
  <si>
    <t>State Carry-Forward</t>
  </si>
  <si>
    <t>Minimum DSSCR Year</t>
  </si>
  <si>
    <t>Units</t>
  </si>
  <si>
    <t>Unit Definitions</t>
  </si>
  <si>
    <t>Pass/Fail – denotes whether the two debt service coverage ratio tests have passed or failed.</t>
  </si>
  <si>
    <t>(kW) kilowatt – a standard measure of electrical capacity, equal to 1000 Watts.</t>
  </si>
  <si>
    <t>(kWh) kilowatt hour – a standard measure of electrical output. A 1 kW generator operating at rated capacity for one hour will produce 1 kWh of electricity.</t>
  </si>
  <si>
    <t>(¢/kWh) –cents per kilowatt hour</t>
  </si>
  <si>
    <t>(%) – an input with units expressed as a percentage</t>
  </si>
  <si>
    <t>(years or year) – an input applicable to a specified duration or project year</t>
  </si>
  <si>
    <t>($/yr) – inputs measured in dollars and applied annually</t>
  </si>
  <si>
    <t>(months) –designates the number of months to which an input applies</t>
  </si>
  <si>
    <r>
      <t xml:space="preserve">Does modeled project meet </t>
    </r>
    <r>
      <rPr>
        <b/>
        <i/>
        <sz val="11"/>
        <color theme="1"/>
        <rFont val="Arial"/>
        <family val="2"/>
      </rPr>
      <t>minimum</t>
    </r>
    <r>
      <rPr>
        <b/>
        <sz val="11"/>
        <color theme="1"/>
        <rFont val="Arial"/>
        <family val="2"/>
      </rPr>
      <t xml:space="preserve"> DSCR requirements?</t>
    </r>
  </si>
  <si>
    <r>
      <t xml:space="preserve">Does modeled project meet </t>
    </r>
    <r>
      <rPr>
        <b/>
        <i/>
        <sz val="11"/>
        <color theme="1"/>
        <rFont val="Arial"/>
        <family val="2"/>
      </rPr>
      <t>average</t>
    </r>
    <r>
      <rPr>
        <b/>
        <sz val="11"/>
        <color theme="1"/>
        <rFont val="Arial"/>
        <family val="2"/>
      </rPr>
      <t xml:space="preserve"> DSCR requirements?</t>
    </r>
  </si>
  <si>
    <t>Investment Tax Credit (ITC) or Cash Grant?</t>
  </si>
  <si>
    <t>Type of Federal Incentive Assumed</t>
  </si>
  <si>
    <t>Is PBI Tax-Based (PTC) or Cash-Based (REPI)?</t>
  </si>
  <si>
    <t>Is Performance-Based Incentive Tax Credit or Cash Pmt?</t>
  </si>
  <si>
    <t>Click Here for Complex Input Worksheet</t>
  </si>
  <si>
    <t>($/kW-yr) – an annual expense (or revenue) based on generator capacity</t>
  </si>
  <si>
    <t>($) – All CREST model values are in nominal dollars</t>
  </si>
  <si>
    <t>Weighted Average Cost of Capital (WACC)</t>
  </si>
  <si>
    <t>Click Here for Complex Input Worksheets</t>
  </si>
  <si>
    <t>Year One</t>
  </si>
  <si>
    <t>As Generated</t>
  </si>
  <si>
    <r>
      <t>Total Value of Grants</t>
    </r>
    <r>
      <rPr>
        <sz val="10"/>
        <rFont val="Arial"/>
        <family val="2"/>
      </rPr>
      <t xml:space="preserve"> (excl. pmt in lieu of ITC, if applicable)</t>
    </r>
  </si>
  <si>
    <t>Did you confirm that all minimum required inputs have green check cells?</t>
  </si>
  <si>
    <t>Insurance, Yr 1 ($) (Provided for reference)</t>
  </si>
  <si>
    <t>Royalties, Yr 1 ($) (Provided for reference)</t>
  </si>
  <si>
    <r>
      <rPr>
        <b/>
        <sz val="12"/>
        <color theme="4"/>
        <rFont val="Calibri"/>
        <family val="2"/>
        <scheme val="minor"/>
      </rPr>
      <t>Blue Bold Text</t>
    </r>
    <r>
      <rPr>
        <sz val="12"/>
        <color theme="1"/>
        <rFont val="Calibri"/>
        <family val="2"/>
        <scheme val="minor"/>
      </rPr>
      <t xml:space="preserve"> denotes user-defined inputs.  The user is responsible for modifying these cells to be consistent with the project being evaluated.</t>
    </r>
  </si>
  <si>
    <t>Conversely, red cells appearing in the "Check" column indicate that a required cell is blank or contains an invalid argument which requires the user's attention.</t>
  </si>
  <si>
    <t>Yellow boxes are used to highlight input choices the model user must make via a dropdown menu.</t>
  </si>
  <si>
    <t>The "Notes" column, populated with boxes showing a "?", contains a combination of definitions, explanations and ranges of typical values for most inputs.  To read a note, the users need only move the cursor onto the applicable cell.  The user is strongly encouraged to review all of these comments in order to understand key features of the CREST model.</t>
  </si>
  <si>
    <t>The output of this model is the all-in payment required to cover all expenses and meet the project investors' after-tax return requirements over the specified number of years. This payment can be used to inform the feed-in tariff rate-setting process.  The payment can either be expressed as a  ‘Year One’ value of which all, or a designated portion, escalates each year during the tariff's duration at a defined rate, or as a "nominal levelized" value (where zero annual escalation is assumed).  The model output is always expressed in cents/kWh.  It is important to note that this calculated tariff rate is net of other assumed incentives, such as federal tax credits and state grants.</t>
  </si>
  <si>
    <t>Press F9 each time inputs are changed to ensure completion of the COE calculation.  
When "#N/A" appears,  press "F9" in the upper row on your keyboard to complete the calculation.  It may be necessary to press F9 more than once. See note for details.</t>
  </si>
  <si>
    <t>Minimum DSCR Check Cell (If "Fail," read note ==&gt;)</t>
  </si>
  <si>
    <t>Average DSCR Check Cell (If "Fail," read note ==&gt;)</t>
  </si>
  <si>
    <t>Input Value</t>
  </si>
  <si>
    <t>Input Values</t>
  </si>
  <si>
    <r>
      <t xml:space="preserve">% Equity (% hard costs) </t>
    </r>
    <r>
      <rPr>
        <sz val="11"/>
        <rFont val="Arial"/>
        <family val="2"/>
      </rPr>
      <t>(soft costs also equity funded)</t>
    </r>
  </si>
  <si>
    <t>$/kW-yr</t>
  </si>
  <si>
    <t>kW</t>
  </si>
  <si>
    <t>Wind Turbine Generator and Blades</t>
  </si>
  <si>
    <t>Tower</t>
  </si>
  <si>
    <t>SCADA</t>
  </si>
  <si>
    <t>Cold Weather Package</t>
  </si>
  <si>
    <t>FAA Lighting</t>
  </si>
  <si>
    <t>Man-Lift</t>
  </si>
  <si>
    <t>Transportation to Site</t>
  </si>
  <si>
    <t>Sales Tax</t>
  </si>
  <si>
    <t>Mobilization</t>
  </si>
  <si>
    <t>Site Survey</t>
  </si>
  <si>
    <t>Clear &amp; Grub</t>
  </si>
  <si>
    <t>Site Preparation</t>
  </si>
  <si>
    <t>Foundations</t>
  </si>
  <si>
    <t>Wind Turbine Generator Installation</t>
  </si>
  <si>
    <t>Engineering</t>
  </si>
  <si>
    <t>O&amp;M Building</t>
  </si>
  <si>
    <t>$/kW</t>
  </si>
  <si>
    <t>Capital Expenditures During Operations: E.g. Gearbox or Blade Replacements</t>
  </si>
  <si>
    <t>Cost of Renewable Energy Spreadsheet Tool (CREST)</t>
  </si>
  <si>
    <t>Land Lease</t>
  </si>
  <si>
    <t>Adjustment to Cost Basis for ITC &amp; Non-taxable Grants</t>
  </si>
  <si>
    <t>Bonus Depreciation</t>
  </si>
  <si>
    <t>% of Bonus Depreciation applied in Year 1</t>
  </si>
  <si>
    <t>Allocation of Costs</t>
  </si>
  <si>
    <t>Project Cost Allocation</t>
  </si>
  <si>
    <t>Before</t>
  </si>
  <si>
    <t xml:space="preserve">% </t>
  </si>
  <si>
    <t xml:space="preserve">After </t>
  </si>
  <si>
    <t>Adjustments</t>
  </si>
  <si>
    <t>Unadjusted</t>
  </si>
  <si>
    <t>Adjusted</t>
  </si>
  <si>
    <t>Project Cost Basis</t>
  </si>
  <si>
    <t>User Manual:</t>
  </si>
  <si>
    <t>Examples:</t>
  </si>
  <si>
    <t>Input Format</t>
  </si>
  <si>
    <t>Calculated Value Format</t>
  </si>
  <si>
    <t>Drop-Down Menu</t>
  </si>
  <si>
    <r>
      <t xml:space="preserve">Once a user has finished entering the characteristics of the project under review on the "Inputs" tab, the model will automatically calculate both the "Year One" and equivalent "Levelized Cost of Energy" -- as defined and discussed in the User Manual.  MS Excel's "Calculation Options" </t>
    </r>
    <r>
      <rPr>
        <b/>
        <sz val="12"/>
        <color theme="1"/>
        <rFont val="Calibri"/>
        <family val="2"/>
        <scheme val="minor"/>
      </rPr>
      <t>MUST</t>
    </r>
    <r>
      <rPr>
        <sz val="12"/>
        <color theme="1"/>
        <rFont val="Calibri"/>
        <family val="2"/>
        <scheme val="minor"/>
      </rPr>
      <t xml:space="preserve"> be set to "</t>
    </r>
    <r>
      <rPr>
        <u/>
        <sz val="12"/>
        <color theme="1"/>
        <rFont val="Calibri"/>
        <family val="2"/>
        <scheme val="minor"/>
      </rPr>
      <t>Automatic</t>
    </r>
    <r>
      <rPr>
        <sz val="12"/>
        <color theme="1"/>
        <rFont val="Calibri"/>
        <family val="2"/>
        <scheme val="minor"/>
      </rPr>
      <t xml:space="preserve">" in order for these results to be generated automatically.  If "Calculation Options" are not set to "Automatic," then the user will need to press "F9" </t>
    </r>
    <r>
      <rPr>
        <u/>
        <sz val="12"/>
        <color theme="1"/>
        <rFont val="Calibri"/>
        <family val="2"/>
        <scheme val="minor"/>
      </rPr>
      <t>after any input is changed</t>
    </r>
    <r>
      <rPr>
        <sz val="12"/>
        <color theme="1"/>
        <rFont val="Calibri"/>
        <family val="2"/>
        <scheme val="minor"/>
      </rPr>
      <t>, in order to calculate accurate results. Even when the Calculations Options are set to Automatic, there are circumstances in which F9 will need to be pressed one or more times in order to complete the calculation.  This is described in more detail in the note towards the top of the Summary Results worksheet. 
Results appear on the "Summary Results" worksheet.  In an effort to allow the user to perform a side-by-side review of multiple cases, the "Summary Results" tab has columns for multiple results. The user is encouraged to copy and paste results from column D into columns F-O as multiple scenarios are run.  This is accomplished by using the "copy" and then "paste special -- values" features in Excel.</t>
    </r>
  </si>
  <si>
    <t>Cost-Based</t>
  </si>
  <si>
    <t>PBI Utilization or Availability Factor, if applicable</t>
  </si>
  <si>
    <t>Federal Taxable Income</t>
  </si>
  <si>
    <t>State Taxable Income</t>
  </si>
  <si>
    <t>Federal Tax 
Benefit/ (Liability)</t>
  </si>
  <si>
    <t>State Tax 
Benefit/ (Liability)</t>
  </si>
  <si>
    <t>Revenue + Tax Benefit/(Liability)</t>
  </si>
  <si>
    <t>Pre-Tax (Cash-only) Equity IRR (over defined Useful Life)</t>
  </si>
  <si>
    <t>After Tax Equity IRR (over defined Useful Life)</t>
  </si>
  <si>
    <t>Notes: (Users may enter descriptive text about their model run)</t>
  </si>
  <si>
    <t xml:space="preserve">3rd Equipment Replacement </t>
  </si>
  <si>
    <t>3rd Replacement Cost ($ in year replaced)</t>
  </si>
  <si>
    <t xml:space="preserve">4th Equipment Replacement </t>
  </si>
  <si>
    <t>4th Replacement Cost ($ in year replaced)</t>
  </si>
  <si>
    <t>3rd Replacement</t>
  </si>
  <si>
    <t>4th Replacement</t>
  </si>
  <si>
    <t>Major Equipment Replacement Reserves #1</t>
  </si>
  <si>
    <t>Major Equipment Replacement Reserves #2</t>
  </si>
  <si>
    <t>Major Equipment Replacement Reserves #3</t>
  </si>
  <si>
    <t>Major Equipment Replacement Reserves #4</t>
  </si>
  <si>
    <t>(max funding period, yrs)</t>
  </si>
  <si>
    <t>The CREST model consists of six worksheets: (1) Introduction: An overview of the CREST model, (2) Inputs: The interface for nearly all user-defined assumptions, (3) Summary Results: A framework for storing the output (results) and associated key inputs of multiple model runs, (4) Annual Cash Flows &amp; Returns: Provides a summary of the modeled project's annual cash flows, (5) Cash Flow: The formula calculations, or "guts", of the model; derives all project cash and tax benefits, and (6) Complex Inputs: This worksheet is only used if the user elects to include a detailed breakdown of project costs; this choice is selected by the user on the Inputs tab. Users should expect to work primarily with the "Inputs" and the "Summary Results" worksheets, although the other tabs and summaries are also expected to be useful during the policy-making process.</t>
  </si>
  <si>
    <t>http://dsireusa.org/</t>
  </si>
  <si>
    <t>http://dsireusa.org/incentives/incentive.cfm?Incentive_Code=US02F&amp;re=1&amp;ee=1</t>
  </si>
  <si>
    <t>http://dsireusa.org/incentives/index.cfm?state=us&amp;re=1&amp;EE=1</t>
  </si>
  <si>
    <t>Summary of Reference Links From Inputs Worksheet</t>
  </si>
  <si>
    <t>Several of the input-specific "Notes" on the Inputs worksheet contain hyperlinks.  Since these hyperlinks are not operable when placed within the MS Excel notes feature, they are duplicated here for the user's convenience.</t>
  </si>
  <si>
    <t>DSIRE</t>
  </si>
  <si>
    <t>DSIRE: Tax/Grants</t>
  </si>
  <si>
    <t>DSIRE: Other Fed Incentives</t>
  </si>
  <si>
    <t>Total State ITC, over realization period</t>
  </si>
  <si>
    <t>Cost-Based Tariff Rate Structure</t>
  </si>
  <si>
    <t>Cost-Based Tariff Escalation Rate</t>
  </si>
  <si>
    <t xml:space="preserve">http://financere.nrel.gov/finance/content/crest-model </t>
  </si>
  <si>
    <t>The remainder of this Introduction worksheet provides an abridged version of the User Manual.</t>
  </si>
  <si>
    <r>
      <t xml:space="preserve">The CREST model comes with a User Manual which describes its design, features, inputs and outputs.  The manual is intended to provide an easy to follow road map to users who might not typically work with financial analyses,  to ensure successful utilization of this Cost of Energy tool.  The User Manual gives a "guided tour" of the model architecture, provides an explanation of how to operate the model, compare multiple analyses, and understand the results.  The User Manual is available to download at: </t>
    </r>
    <r>
      <rPr>
        <sz val="12"/>
        <color theme="1"/>
        <rFont val="Calibri"/>
        <family val="2"/>
        <scheme val="minor"/>
      </rPr>
      <t xml:space="preserve">
</t>
    </r>
  </si>
  <si>
    <t>Summary of Models Reviewed During the Development of the solar, wind and geothermal CREST:</t>
  </si>
  <si>
    <t>RETI Cost of Generation Spreadsheet</t>
  </si>
  <si>
    <t>Vermont Standard Offer Models</t>
  </si>
  <si>
    <t>RETScreen</t>
  </si>
  <si>
    <t>Gainesville FIT Model</t>
  </si>
  <si>
    <t>Solar Advisor Model (SAM)</t>
  </si>
  <si>
    <t>EU PV Platform</t>
  </si>
  <si>
    <t>Vote Solar Incentive Comparison Model</t>
  </si>
  <si>
    <t>Geothermal Electricity Technology Evaluation Model (GETEM)</t>
  </si>
  <si>
    <t>These models were reviewed primarily to identify best practices which effectively balance ease of use with flexibility and advanced functionality.  In most cases, the helpful modeling techniques identified are not technology-specific, and have influenced the general design of all three CREST models.  Each of the models listed below is discussed in more detail in the report (please see link at the top of this worksheet).</t>
  </si>
  <si>
    <t xml:space="preserve">The CREST model is a cost-of-energy analysis tool intended to assist policy makers evaluating the appropriate payment rate for a cost-based renewable energy incentive policy. The model aims to determine the cost-of-energy, or minimum revenue per unit of production needed for a sample (modeled) renewable energy project to meet its investors' assumed minimum required after-tax rate of return.  This model was developed in conjunction with a report entitled “Renewable Energy Cost Modeling: A Toolkit for Establishing Cost-Based Incentives in the United States”, developed under contract to the National Renewable Energy Laboratory. For more information about the factors, issues and policy decisions involved in establishing cost-based rates and incentives, please refer to the report.
The report, user manual and CREST models are free and available for download at: </t>
  </si>
  <si>
    <r>
      <t xml:space="preserve">Forecasted Market Value of Production; applies </t>
    </r>
    <r>
      <rPr>
        <b/>
        <u/>
        <sz val="12"/>
        <rFont val="Arial"/>
        <family val="2"/>
      </rPr>
      <t>after</t>
    </r>
    <r>
      <rPr>
        <b/>
        <sz val="12"/>
        <rFont val="Arial"/>
        <family val="2"/>
      </rPr>
      <t xml:space="preserve"> Incentive Expiration</t>
    </r>
  </si>
  <si>
    <t>Author:</t>
  </si>
  <si>
    <t>Sustainable Energy Advantage, LLC</t>
  </si>
  <si>
    <t>For Technical Support, Please Contact:</t>
  </si>
  <si>
    <t xml:space="preserve">Michael Mendelsohn, NREL
(303) 384-7363
michael.mendelsohn@nrel.gov </t>
  </si>
  <si>
    <t>For Model Customization, Please Contact:</t>
  </si>
  <si>
    <t xml:space="preserve">Sustainable Energy Advantage, LLC
(508) 665-5850
CREST@seadvantage.com </t>
  </si>
  <si>
    <t>Total Installed Cost (before grants, if applicable)</t>
  </si>
  <si>
    <t>Cash</t>
  </si>
  <si>
    <t>Simple</t>
  </si>
  <si>
    <t>Payment Duration for Cost-Based Tariff</t>
  </si>
  <si>
    <t>Tax Credit-  or Cash- Based?</t>
  </si>
  <si>
    <t>% of Year 1 Tariff Rate Escalated</t>
  </si>
  <si>
    <t>Net Installed Cost (Total Installed Cost less Grants)</t>
  </si>
  <si>
    <t>Operating Expenses, Aggregated, Yr 1</t>
  </si>
  <si>
    <t>Debt Term</t>
  </si>
  <si>
    <t>Federal Tax Benefts Used "as generated" or "carried forward"?</t>
  </si>
  <si>
    <t>State Tax Benefts Used "as generated" or "carried forward"?</t>
  </si>
  <si>
    <t>Total of Grants or Rebates</t>
  </si>
  <si>
    <t>Bonus Depreciation assumed?</t>
  </si>
  <si>
    <r>
      <rPr>
        <sz val="11"/>
        <color theme="1"/>
        <rFont val="Calibri"/>
        <family val="2"/>
      </rPr>
      <t>¢</t>
    </r>
    <r>
      <rPr>
        <i/>
        <sz val="11"/>
        <color theme="1"/>
        <rFont val="Arial"/>
        <family val="2"/>
      </rPr>
      <t>/kWh</t>
    </r>
  </si>
  <si>
    <t>Total $ Cap on State Rebates/Grants</t>
  </si>
  <si>
    <t>Annual $ Cap on Performance-Based Incentive</t>
  </si>
  <si>
    <t>PBI or REC Rate</t>
  </si>
  <si>
    <t>PBI or REC PaymentDuration</t>
  </si>
  <si>
    <t>PBI or REC Escalation Rate (pos. or neg.)</t>
  </si>
  <si>
    <t>State Rebates, Tax Credits and/or REC Revenue</t>
  </si>
  <si>
    <t>Net Year-One Cost of Energy (COE)</t>
  </si>
  <si>
    <t>Net Nominal Levelized Cost of Energy</t>
  </si>
  <si>
    <t>Cash Grant</t>
  </si>
  <si>
    <r>
      <t xml:space="preserve">Additional Federal Grants </t>
    </r>
    <r>
      <rPr>
        <b/>
        <sz val="10"/>
        <rFont val="Arial"/>
        <family val="2"/>
      </rPr>
      <t>(Other than Section 1603)</t>
    </r>
  </si>
  <si>
    <t>Select Form of Federal Incentives</t>
  </si>
  <si>
    <t>Additional State Rebates/Grants</t>
  </si>
  <si>
    <t>Select Form of State Incentive</t>
  </si>
  <si>
    <t>If cash, is state PBI or REC taxable?</t>
  </si>
  <si>
    <t>Operations</t>
  </si>
  <si>
    <t>Neither</t>
  </si>
  <si>
    <t>Intermediate</t>
  </si>
  <si>
    <t>Version 1.4 removes CREST's password protection. The authors strongly recommend that you save a copy of the model in its original form.  Once altered, modeling results cannot be warranted by NREL or SEA.  For model customization support, please contact Sustainable Energy Advantage, LLC.</t>
  </si>
  <si>
    <t>Update Notice:</t>
  </si>
  <si>
    <t>Wind, version 1.4</t>
  </si>
  <si>
    <t>% Equity (% hard costs) (soft costs also equity funded)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</si>
</sst>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0.0%"/>
    <numFmt numFmtId="165" formatCode="_(&quot;$&quot;* #,##0_);_(&quot;$&quot;* \(#,##0\);_(&quot;$&quot;* &quot;-&quot;??_);_(@_)"/>
    <numFmt numFmtId="166" formatCode="&quot;Project&quot;\ #"/>
    <numFmt numFmtId="167" formatCode="0\ &quot;kW&quot;"/>
    <numFmt numFmtId="168" formatCode="#\ &quot;Years&quot;"/>
    <numFmt numFmtId="169" formatCode="&quot;$&quot;#,##0"/>
    <numFmt numFmtId="170" formatCode="&quot;$&quot;#.##&quot;/ Watt&quot;"/>
    <numFmt numFmtId="171" formatCode="&quot;$&quot;#,##0.00"/>
    <numFmt numFmtId="172" formatCode="0.0000"/>
    <numFmt numFmtId="173" formatCode="0.000"/>
    <numFmt numFmtId="174" formatCode="_(* #,##0_);_(* \(#,##0\);_(* &quot;-&quot;??_);_(@_)"/>
    <numFmt numFmtId="175" formatCode="0.000000"/>
    <numFmt numFmtId="176" formatCode="&quot;Year&quot;\ #"/>
    <numFmt numFmtId="177" formatCode="0.0"/>
    <numFmt numFmtId="178" formatCode="&quot;Net Present Value @&quot;\ ##.00%\ &quot;(over defined Useful Life)&quot;"/>
  </numFmts>
  <fonts count="96">
    <font>
      <sz val="11"/>
      <color theme="1"/>
      <name val="Calibri"/>
      <family val="2"/>
      <scheme val="minor"/>
    </font>
    <font>
      <sz val="12"/>
      <color theme="1"/>
      <name val="Calibri"/>
      <family val="2"/>
      <scheme val="minor"/>
    </font>
    <font>
      <sz val="11"/>
      <color theme="1"/>
      <name val="Calibri"/>
      <family val="2"/>
      <scheme val="minor"/>
    </font>
    <font>
      <b/>
      <sz val="12"/>
      <name val="Arial"/>
      <family val="2"/>
    </font>
    <font>
      <i/>
      <sz val="12"/>
      <name val="Arial"/>
      <family val="2"/>
    </font>
    <font>
      <b/>
      <sz val="12"/>
      <color indexed="62"/>
      <name val="Arial"/>
      <family val="2"/>
    </font>
    <font>
      <sz val="12"/>
      <name val="Arial"/>
      <family val="2"/>
    </font>
    <font>
      <sz val="12"/>
      <color rgb="FFFF0000"/>
      <name val="Arial"/>
      <family val="2"/>
    </font>
    <font>
      <b/>
      <sz val="14"/>
      <name val="Arial"/>
      <family val="2"/>
    </font>
    <font>
      <b/>
      <sz val="12"/>
      <color theme="3"/>
      <name val="Arial"/>
      <family val="2"/>
    </font>
    <font>
      <b/>
      <i/>
      <sz val="10"/>
      <name val="Arial"/>
      <family val="2"/>
    </font>
    <font>
      <i/>
      <sz val="11"/>
      <name val="Arial"/>
      <family val="2"/>
    </font>
    <font>
      <b/>
      <sz val="12"/>
      <color indexed="56"/>
      <name val="Arial"/>
      <family val="2"/>
    </font>
    <font>
      <b/>
      <sz val="8"/>
      <color indexed="81"/>
      <name val="Tahoma"/>
      <family val="2"/>
    </font>
    <font>
      <sz val="8"/>
      <color indexed="81"/>
      <name val="Tahoma"/>
      <family val="2"/>
    </font>
    <font>
      <b/>
      <sz val="12"/>
      <color rgb="FFFF0000"/>
      <name val="Arial"/>
      <family val="2"/>
    </font>
    <font>
      <b/>
      <sz val="12"/>
      <color theme="0" tint="-0.14999847407452621"/>
      <name val="Arial"/>
      <family val="2"/>
    </font>
    <font>
      <u/>
      <sz val="8.8000000000000007"/>
      <color theme="10"/>
      <name val="Calibri"/>
      <family val="2"/>
    </font>
    <font>
      <b/>
      <sz val="14"/>
      <color indexed="81"/>
      <name val="Tahoma"/>
      <family val="2"/>
    </font>
    <font>
      <sz val="14"/>
      <color indexed="81"/>
      <name val="Tahoma"/>
      <family val="2"/>
    </font>
    <font>
      <sz val="10"/>
      <name val="Arial"/>
      <family val="2"/>
    </font>
    <font>
      <b/>
      <i/>
      <sz val="12"/>
      <name val="Arial"/>
      <family val="2"/>
    </font>
    <font>
      <u/>
      <sz val="12"/>
      <name val="Arial"/>
      <family val="2"/>
    </font>
    <font>
      <b/>
      <sz val="12"/>
      <color indexed="81"/>
      <name val="Tahoma"/>
      <family val="2"/>
    </font>
    <font>
      <b/>
      <sz val="12"/>
      <color theme="4"/>
      <name val="Arial"/>
      <family val="2"/>
    </font>
    <font>
      <b/>
      <sz val="11"/>
      <color rgb="FFFF0000"/>
      <name val="Calibri"/>
      <family val="2"/>
      <scheme val="minor"/>
    </font>
    <font>
      <u/>
      <sz val="14"/>
      <color indexed="81"/>
      <name val="Tahoma"/>
      <family val="2"/>
    </font>
    <font>
      <b/>
      <u/>
      <sz val="12"/>
      <color theme="0" tint="-0.249977111117893"/>
      <name val="Arial"/>
      <family val="2"/>
    </font>
    <font>
      <sz val="12"/>
      <color theme="1"/>
      <name val="Arial"/>
      <family val="2"/>
    </font>
    <font>
      <b/>
      <sz val="12"/>
      <color theme="1"/>
      <name val="Calibri"/>
      <family val="2"/>
      <scheme val="minor"/>
    </font>
    <font>
      <b/>
      <sz val="14"/>
      <color theme="1"/>
      <name val="Calibri"/>
      <family val="2"/>
      <scheme val="minor"/>
    </font>
    <font>
      <b/>
      <sz val="12"/>
      <color indexed="12"/>
      <name val="Arial"/>
      <family val="2"/>
    </font>
    <font>
      <sz val="12"/>
      <color indexed="8"/>
      <name val="Arial"/>
      <family val="2"/>
    </font>
    <font>
      <i/>
      <sz val="12"/>
      <color rgb="FFFF0000"/>
      <name val="Arial"/>
      <family val="2"/>
    </font>
    <font>
      <u/>
      <sz val="18"/>
      <color theme="10"/>
      <name val="Calibri"/>
      <family val="2"/>
    </font>
    <font>
      <b/>
      <sz val="12"/>
      <color indexed="56"/>
      <name val="Times New Roman"/>
      <family val="1"/>
    </font>
    <font>
      <i/>
      <u/>
      <sz val="12"/>
      <name val="Arial"/>
      <family val="2"/>
    </font>
    <font>
      <b/>
      <u/>
      <sz val="12"/>
      <name val="Arial"/>
      <family val="2"/>
    </font>
    <font>
      <b/>
      <sz val="14"/>
      <name val="Tahoma"/>
      <family val="2"/>
    </font>
    <font>
      <b/>
      <i/>
      <sz val="14"/>
      <color rgb="FFC00000"/>
      <name val="Tahoma"/>
      <family val="2"/>
    </font>
    <font>
      <i/>
      <sz val="11"/>
      <color rgb="FFC00000"/>
      <name val="Calibri"/>
      <family val="2"/>
      <scheme val="minor"/>
    </font>
    <font>
      <b/>
      <i/>
      <sz val="11"/>
      <color rgb="FFC00000"/>
      <name val="Calibri"/>
      <family val="2"/>
      <scheme val="minor"/>
    </font>
    <font>
      <b/>
      <i/>
      <sz val="12"/>
      <color theme="4"/>
      <name val="Arial"/>
      <family val="2"/>
    </font>
    <font>
      <sz val="12"/>
      <color rgb="FFC00000"/>
      <name val="Arial"/>
      <family val="2"/>
    </font>
    <font>
      <b/>
      <sz val="12"/>
      <color theme="1"/>
      <name val="Arial"/>
      <family val="2"/>
    </font>
    <font>
      <sz val="12"/>
      <color theme="1"/>
      <name val="Calibri"/>
      <family val="2"/>
      <scheme val="minor"/>
    </font>
    <font>
      <b/>
      <sz val="12"/>
      <color rgb="FFFF0000"/>
      <name val="Calibri"/>
      <family val="2"/>
      <scheme val="minor"/>
    </font>
    <font>
      <sz val="12"/>
      <color rgb="FFFF0000"/>
      <name val="Calibri"/>
      <family val="2"/>
      <scheme val="minor"/>
    </font>
    <font>
      <b/>
      <sz val="12"/>
      <color theme="4"/>
      <name val="Calibri"/>
      <family val="2"/>
      <scheme val="minor"/>
    </font>
    <font>
      <sz val="11"/>
      <color theme="1"/>
      <name val="Arial"/>
      <family val="2"/>
    </font>
    <font>
      <b/>
      <sz val="14"/>
      <color theme="1"/>
      <name val="Arial"/>
      <family val="2"/>
    </font>
    <font>
      <b/>
      <sz val="11"/>
      <color theme="1"/>
      <name val="Arial"/>
      <family val="2"/>
    </font>
    <font>
      <b/>
      <sz val="11"/>
      <name val="Arial"/>
      <family val="2"/>
    </font>
    <font>
      <sz val="11"/>
      <name val="Arial"/>
      <family val="2"/>
    </font>
    <font>
      <b/>
      <i/>
      <sz val="11"/>
      <name val="Arial"/>
      <family val="2"/>
    </font>
    <font>
      <i/>
      <sz val="11"/>
      <color theme="1"/>
      <name val="Arial"/>
      <family val="2"/>
    </font>
    <font>
      <b/>
      <i/>
      <sz val="11"/>
      <color rgb="FFC00000"/>
      <name val="Arial"/>
      <family val="2"/>
    </font>
    <font>
      <b/>
      <sz val="11"/>
      <color theme="4"/>
      <name val="Arial"/>
      <family val="2"/>
    </font>
    <font>
      <i/>
      <sz val="12"/>
      <color theme="0" tint="-0.499984740745262"/>
      <name val="Arial"/>
      <family val="2"/>
    </font>
    <font>
      <b/>
      <sz val="12"/>
      <color theme="0"/>
      <name val="Arial"/>
      <family val="2"/>
    </font>
    <font>
      <b/>
      <i/>
      <u/>
      <sz val="12"/>
      <name val="Arial"/>
      <family val="2"/>
    </font>
    <font>
      <b/>
      <sz val="12"/>
      <name val="Tahoma"/>
      <family val="2"/>
    </font>
    <font>
      <sz val="14"/>
      <name val="Arial"/>
      <family val="2"/>
    </font>
    <font>
      <b/>
      <i/>
      <sz val="12"/>
      <color theme="0" tint="-0.249977111117893"/>
      <name val="Arial"/>
      <family val="2"/>
    </font>
    <font>
      <i/>
      <sz val="10"/>
      <color theme="0" tint="-0.499984740745262"/>
      <name val="Arial"/>
      <family val="2"/>
    </font>
    <font>
      <b/>
      <u/>
      <sz val="12"/>
      <color theme="0"/>
      <name val="Arial"/>
      <family val="2"/>
    </font>
    <font>
      <i/>
      <sz val="11"/>
      <color theme="0" tint="-0.34998626667073579"/>
      <name val="Arial"/>
      <family val="2"/>
    </font>
    <font>
      <b/>
      <sz val="8"/>
      <name val="Arial"/>
      <family val="2"/>
    </font>
    <font>
      <sz val="12"/>
      <color theme="0" tint="-0.14999847407452621"/>
      <name val="Arial"/>
      <family val="2"/>
    </font>
    <font>
      <i/>
      <sz val="12"/>
      <color theme="0" tint="-0.14999847407452621"/>
      <name val="Arial"/>
      <family val="2"/>
    </font>
    <font>
      <sz val="12"/>
      <color theme="0"/>
      <name val="Arial"/>
      <family val="2"/>
    </font>
    <font>
      <i/>
      <sz val="12"/>
      <color theme="1"/>
      <name val="Arial"/>
      <family val="2"/>
    </font>
    <font>
      <b/>
      <i/>
      <sz val="11"/>
      <color theme="1"/>
      <name val="Arial"/>
      <family val="2"/>
    </font>
    <font>
      <b/>
      <u/>
      <sz val="12"/>
      <color theme="0" tint="-0.14999847407452621"/>
      <name val="Arial"/>
      <family val="2"/>
    </font>
    <font>
      <u/>
      <sz val="12"/>
      <color theme="10"/>
      <name val="Arial"/>
      <family val="2"/>
    </font>
    <font>
      <b/>
      <u/>
      <sz val="12"/>
      <color theme="10"/>
      <name val="Arial"/>
      <family val="2"/>
    </font>
    <font>
      <sz val="12"/>
      <color indexed="81"/>
      <name val="Tahoma"/>
      <family val="2"/>
    </font>
    <font>
      <b/>
      <i/>
      <sz val="11"/>
      <color rgb="FF00B050"/>
      <name val="Arial"/>
      <family val="2"/>
    </font>
    <font>
      <b/>
      <i/>
      <sz val="14"/>
      <color indexed="81"/>
      <name val="Tahoma"/>
      <family val="2"/>
    </font>
    <font>
      <u/>
      <sz val="12"/>
      <color theme="1"/>
      <name val="Calibri"/>
      <family val="2"/>
      <scheme val="minor"/>
    </font>
    <font>
      <b/>
      <sz val="12"/>
      <color theme="0" tint="-0.249977111117893"/>
      <name val="Arial"/>
      <family val="2"/>
    </font>
    <font>
      <sz val="12"/>
      <color theme="0" tint="-0.249977111117893"/>
      <name val="Arial"/>
      <family val="2"/>
    </font>
    <font>
      <b/>
      <sz val="11"/>
      <color rgb="FFFFFF00"/>
      <name val="Arial"/>
      <family val="2"/>
    </font>
    <font>
      <b/>
      <u/>
      <sz val="14"/>
      <color indexed="81"/>
      <name val="Tahoma"/>
      <family val="2"/>
    </font>
    <font>
      <b/>
      <sz val="12"/>
      <color theme="3"/>
      <name val="Calibri"/>
      <family val="2"/>
      <scheme val="minor"/>
    </font>
    <font>
      <b/>
      <i/>
      <u/>
      <sz val="12"/>
      <color theme="1"/>
      <name val="Calibri"/>
      <family val="2"/>
      <scheme val="minor"/>
    </font>
    <font>
      <b/>
      <sz val="14"/>
      <color rgb="FFFF0000"/>
      <name val="Calibri"/>
      <family val="2"/>
      <scheme val="minor"/>
    </font>
    <font>
      <b/>
      <i/>
      <u/>
      <sz val="12"/>
      <color theme="1"/>
      <name val="Arial"/>
      <family val="2"/>
    </font>
    <font>
      <u/>
      <sz val="12"/>
      <color theme="10"/>
      <name val="Calibri"/>
      <family val="2"/>
    </font>
    <font>
      <b/>
      <i/>
      <sz val="12"/>
      <color theme="1"/>
      <name val="Calibri"/>
      <family val="2"/>
      <scheme val="minor"/>
    </font>
    <font>
      <b/>
      <sz val="11"/>
      <color rgb="FFFF0000"/>
      <name val="Arial"/>
      <family val="2"/>
    </font>
    <font>
      <sz val="11"/>
      <color theme="1"/>
      <name val="Calibri"/>
      <family val="2"/>
    </font>
    <font>
      <b/>
      <sz val="16"/>
      <color indexed="81"/>
      <name val="Tahoma"/>
      <family val="2"/>
    </font>
    <font>
      <i/>
      <sz val="14"/>
      <color theme="1"/>
      <name val="Arial"/>
      <family val="2"/>
    </font>
    <font>
      <sz val="14"/>
      <color theme="1"/>
      <name val="Arial"/>
      <family val="2"/>
    </font>
    <font>
      <b/>
      <sz val="10"/>
      <name val="Arial"/>
      <family val="2"/>
    </font>
  </fonts>
  <fills count="15">
    <fill>
      <patternFill patternType="none"/>
    </fill>
    <fill>
      <patternFill patternType="gray125"/>
    </fill>
    <fill>
      <patternFill patternType="solid">
        <fgColor indexed="9"/>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99"/>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indexed="2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rgb="FF00B050"/>
        <bgColor indexed="64"/>
      </patternFill>
    </fill>
    <fill>
      <patternFill patternType="solid">
        <fgColor rgb="FFFFFF00"/>
        <bgColor indexed="64"/>
      </patternFill>
    </fill>
    <fill>
      <patternFill patternType="solid">
        <fgColor theme="0"/>
        <bgColor indexed="64"/>
      </patternFill>
    </fill>
  </fills>
  <borders count="7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thin">
        <color indexed="64"/>
      </bottom>
      <diagonal/>
    </border>
    <border>
      <left/>
      <right/>
      <top style="medium">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s>
  <cellStyleXfs count="6">
    <xf numFmtId="0" fontId="0" fillId="0" borderId="0"/>
    <xf numFmtId="44" fontId="2" fillId="0" borderId="0" applyFont="0" applyFill="0" applyBorder="0" applyAlignment="0" applyProtection="0"/>
    <xf numFmtId="9" fontId="2" fillId="0" borderId="0" applyFont="0" applyFill="0" applyBorder="0" applyAlignment="0" applyProtection="0"/>
    <xf numFmtId="0" fontId="17" fillId="0" borderId="0" applyNumberFormat="0" applyFill="0" applyBorder="0" applyAlignment="0" applyProtection="0">
      <alignment vertical="top"/>
      <protection locked="0"/>
    </xf>
    <xf numFmtId="9" fontId="20" fillId="0" borderId="0" applyFont="0" applyFill="0" applyBorder="0" applyAlignment="0" applyProtection="0"/>
    <xf numFmtId="43" fontId="2" fillId="0" borderId="0" applyFont="0" applyFill="0" applyBorder="0" applyAlignment="0" applyProtection="0"/>
  </cellStyleXfs>
  <cellXfs count="778">
    <xf numFmtId="0" fontId="0" fillId="0" borderId="0" xfId="0"/>
    <xf numFmtId="0" fontId="6" fillId="0" borderId="0" xfId="0" applyFont="1" applyFill="1" applyBorder="1"/>
    <xf numFmtId="0" fontId="3" fillId="5" borderId="1" xfId="0" applyNumberFormat="1" applyFont="1" applyFill="1" applyBorder="1" applyAlignment="1">
      <alignment horizontal="left"/>
    </xf>
    <xf numFmtId="0" fontId="10" fillId="5" borderId="2" xfId="0" applyNumberFormat="1" applyFont="1" applyFill="1" applyBorder="1" applyAlignment="1">
      <alignment horizontal="center"/>
    </xf>
    <xf numFmtId="166" fontId="11" fillId="5" borderId="3" xfId="0" applyNumberFormat="1" applyFont="1" applyFill="1" applyBorder="1" applyAlignment="1">
      <alignment horizontal="center"/>
    </xf>
    <xf numFmtId="0" fontId="3" fillId="5" borderId="1" xfId="0" applyNumberFormat="1" applyFont="1" applyFill="1" applyBorder="1" applyAlignment="1"/>
    <xf numFmtId="0" fontId="4" fillId="2" borderId="5" xfId="0" applyNumberFormat="1" applyFont="1" applyFill="1" applyBorder="1" applyAlignment="1">
      <alignment horizontal="center"/>
    </xf>
    <xf numFmtId="0" fontId="4" fillId="2" borderId="4" xfId="0" applyNumberFormat="1" applyFont="1" applyFill="1" applyBorder="1" applyAlignment="1">
      <alignment horizontal="center"/>
    </xf>
    <xf numFmtId="0" fontId="4" fillId="0" borderId="4" xfId="0" applyFont="1" applyBorder="1" applyAlignment="1">
      <alignment horizontal="center"/>
    </xf>
    <xf numFmtId="0" fontId="6" fillId="2" borderId="4" xfId="0" applyNumberFormat="1" applyFont="1" applyFill="1" applyBorder="1" applyAlignment="1"/>
    <xf numFmtId="3" fontId="3" fillId="5" borderId="1" xfId="0" applyNumberFormat="1" applyFont="1" applyFill="1" applyBorder="1" applyAlignment="1">
      <alignment horizontal="left"/>
    </xf>
    <xf numFmtId="0" fontId="4" fillId="0" borderId="4" xfId="0" applyNumberFormat="1" applyFont="1" applyFill="1" applyBorder="1" applyAlignment="1">
      <alignment horizontal="center"/>
    </xf>
    <xf numFmtId="0" fontId="6" fillId="0" borderId="8" xfId="0" applyFont="1" applyFill="1" applyBorder="1"/>
    <xf numFmtId="0" fontId="6" fillId="0" borderId="0" xfId="0" applyFont="1" applyBorder="1"/>
    <xf numFmtId="0" fontId="15" fillId="0" borderId="4" xfId="0" applyFont="1" applyFill="1" applyBorder="1" applyAlignment="1">
      <alignment horizontal="center"/>
    </xf>
    <xf numFmtId="0" fontId="0" fillId="0" borderId="0" xfId="0" applyBorder="1"/>
    <xf numFmtId="0" fontId="15" fillId="0" borderId="0" xfId="0" applyFont="1" applyFill="1" applyBorder="1" applyAlignment="1">
      <alignment horizontal="center"/>
    </xf>
    <xf numFmtId="0" fontId="8" fillId="0" borderId="0" xfId="0" applyFont="1" applyFill="1" applyBorder="1" applyAlignment="1">
      <alignment horizontal="center"/>
    </xf>
    <xf numFmtId="0" fontId="3" fillId="0" borderId="0" xfId="0" applyFont="1" applyFill="1" applyBorder="1" applyAlignment="1">
      <alignment horizontal="center"/>
    </xf>
    <xf numFmtId="0" fontId="6" fillId="0" borderId="2" xfId="0" applyFont="1" applyBorder="1"/>
    <xf numFmtId="0" fontId="6" fillId="0" borderId="0" xfId="0" applyFont="1" applyFill="1" applyBorder="1" applyAlignment="1">
      <alignment horizontal="center"/>
    </xf>
    <xf numFmtId="0" fontId="6" fillId="2" borderId="0" xfId="0" applyNumberFormat="1" applyFont="1" applyFill="1" applyBorder="1" applyAlignment="1"/>
    <xf numFmtId="0" fontId="4" fillId="0" borderId="4" xfId="0" applyFont="1" applyFill="1" applyBorder="1" applyAlignment="1">
      <alignment horizontal="center"/>
    </xf>
    <xf numFmtId="0" fontId="24" fillId="0" borderId="2" xfId="0" applyFont="1" applyBorder="1" applyAlignment="1">
      <alignment horizontal="center" vertical="center"/>
    </xf>
    <xf numFmtId="0" fontId="8" fillId="0" borderId="2" xfId="0" applyFont="1" applyFill="1" applyBorder="1" applyAlignment="1">
      <alignment horizontal="left"/>
    </xf>
    <xf numFmtId="9" fontId="9" fillId="0" borderId="0" xfId="0" applyNumberFormat="1" applyFont="1" applyFill="1" applyBorder="1" applyAlignment="1">
      <alignment horizontal="center"/>
    </xf>
    <xf numFmtId="0" fontId="0" fillId="0" borderId="0" xfId="0" applyFill="1" applyBorder="1"/>
    <xf numFmtId="0" fontId="6" fillId="5" borderId="2" xfId="0" applyFont="1" applyFill="1" applyBorder="1"/>
    <xf numFmtId="0" fontId="3" fillId="0" borderId="14" xfId="0" applyFont="1" applyFill="1" applyBorder="1" applyAlignment="1">
      <alignment horizontal="center"/>
    </xf>
    <xf numFmtId="0" fontId="4" fillId="0" borderId="5" xfId="0" applyFont="1" applyFill="1" applyBorder="1" applyAlignment="1">
      <alignment horizontal="center"/>
    </xf>
    <xf numFmtId="0" fontId="6" fillId="0" borderId="0" xfId="0" applyNumberFormat="1" applyFont="1" applyAlignment="1"/>
    <xf numFmtId="0" fontId="3" fillId="0" borderId="0" xfId="0" applyNumberFormat="1" applyFont="1" applyAlignment="1">
      <alignment horizontal="center"/>
    </xf>
    <xf numFmtId="0" fontId="6" fillId="0" borderId="0" xfId="0" applyNumberFormat="1" applyFont="1" applyFill="1" applyAlignment="1"/>
    <xf numFmtId="0" fontId="6" fillId="0" borderId="0" xfId="0" applyNumberFormat="1" applyFont="1" applyAlignment="1">
      <alignment horizontal="center"/>
    </xf>
    <xf numFmtId="173" fontId="6" fillId="0" borderId="0" xfId="0" applyNumberFormat="1" applyFont="1" applyAlignment="1"/>
    <xf numFmtId="0" fontId="3" fillId="0" borderId="0" xfId="0" applyNumberFormat="1" applyFont="1" applyAlignment="1"/>
    <xf numFmtId="3" fontId="6" fillId="0" borderId="0" xfId="0" applyNumberFormat="1" applyFont="1" applyAlignment="1"/>
    <xf numFmtId="0" fontId="6" fillId="0" borderId="0" xfId="0" applyNumberFormat="1" applyFont="1" applyFill="1" applyBorder="1" applyAlignment="1"/>
    <xf numFmtId="169" fontId="6" fillId="0" borderId="0" xfId="0" applyNumberFormat="1" applyFont="1" applyBorder="1" applyAlignment="1"/>
    <xf numFmtId="0" fontId="6" fillId="0" borderId="0" xfId="0" applyNumberFormat="1" applyFont="1" applyBorder="1" applyAlignment="1"/>
    <xf numFmtId="0" fontId="6" fillId="0" borderId="9" xfId="0" applyNumberFormat="1" applyFont="1" applyFill="1" applyBorder="1" applyAlignment="1"/>
    <xf numFmtId="0" fontId="6" fillId="0" borderId="9" xfId="0" applyNumberFormat="1" applyFont="1" applyBorder="1" applyAlignment="1"/>
    <xf numFmtId="169" fontId="3" fillId="0" borderId="0" xfId="0" applyNumberFormat="1" applyFont="1" applyAlignment="1"/>
    <xf numFmtId="6" fontId="6" fillId="0" borderId="0" xfId="0" applyNumberFormat="1" applyFont="1" applyFill="1" applyBorder="1" applyAlignment="1"/>
    <xf numFmtId="6" fontId="6" fillId="0" borderId="9" xfId="0" applyNumberFormat="1" applyFont="1" applyFill="1" applyBorder="1" applyAlignment="1"/>
    <xf numFmtId="0" fontId="3" fillId="0" borderId="0" xfId="0" applyNumberFormat="1" applyFont="1" applyFill="1" applyBorder="1" applyAlignment="1"/>
    <xf numFmtId="6" fontId="3" fillId="0" borderId="0" xfId="0" applyNumberFormat="1" applyFont="1" applyAlignment="1"/>
    <xf numFmtId="0" fontId="4" fillId="0" borderId="0" xfId="0" applyNumberFormat="1" applyFont="1" applyFill="1" applyBorder="1" applyAlignment="1"/>
    <xf numFmtId="0" fontId="4" fillId="0" borderId="0" xfId="0" applyNumberFormat="1" applyFont="1" applyAlignment="1"/>
    <xf numFmtId="0" fontId="4" fillId="0" borderId="0" xfId="0" applyNumberFormat="1" applyFont="1" applyFill="1" applyAlignment="1"/>
    <xf numFmtId="40" fontId="4" fillId="0" borderId="0" xfId="0" applyNumberFormat="1" applyFont="1" applyFill="1" applyAlignment="1">
      <alignment horizontal="center"/>
    </xf>
    <xf numFmtId="0" fontId="3" fillId="0" borderId="0" xfId="0" applyNumberFormat="1" applyFont="1" applyFill="1" applyAlignment="1"/>
    <xf numFmtId="6" fontId="3" fillId="0" borderId="0" xfId="0" applyNumberFormat="1" applyFont="1" applyFill="1" applyAlignment="1"/>
    <xf numFmtId="0" fontId="3" fillId="0" borderId="0" xfId="0" applyNumberFormat="1" applyFont="1" applyAlignment="1">
      <alignment wrapText="1"/>
    </xf>
    <xf numFmtId="6" fontId="6" fillId="0" borderId="0" xfId="0" applyNumberFormat="1" applyFont="1" applyAlignment="1"/>
    <xf numFmtId="6" fontId="6" fillId="0" borderId="9" xfId="0" applyNumberFormat="1" applyFont="1" applyBorder="1" applyAlignment="1"/>
    <xf numFmtId="0" fontId="21" fillId="0" borderId="0" xfId="0" applyNumberFormat="1" applyFont="1" applyAlignment="1">
      <alignment wrapText="1"/>
    </xf>
    <xf numFmtId="164" fontId="4" fillId="0" borderId="0" xfId="2" applyNumberFormat="1" applyFont="1" applyAlignment="1"/>
    <xf numFmtId="6" fontId="31" fillId="0" borderId="0" xfId="0" applyNumberFormat="1" applyFont="1" applyFill="1" applyAlignment="1">
      <alignment horizontal="center"/>
    </xf>
    <xf numFmtId="0" fontId="3" fillId="0" borderId="22" xfId="0" applyNumberFormat="1" applyFont="1" applyBorder="1" applyAlignment="1"/>
    <xf numFmtId="0" fontId="6" fillId="0" borderId="22" xfId="0" applyNumberFormat="1" applyFont="1" applyBorder="1" applyAlignment="1"/>
    <xf numFmtId="0" fontId="3" fillId="9" borderId="0" xfId="0" applyNumberFormat="1" applyFont="1" applyFill="1" applyBorder="1" applyAlignment="1"/>
    <xf numFmtId="0" fontId="6" fillId="9" borderId="0" xfId="0" applyNumberFormat="1" applyFont="1" applyFill="1" applyBorder="1" applyAlignment="1"/>
    <xf numFmtId="6" fontId="6" fillId="9" borderId="0" xfId="0" applyNumberFormat="1" applyFont="1" applyFill="1" applyBorder="1" applyAlignment="1"/>
    <xf numFmtId="0" fontId="21" fillId="9" borderId="0" xfId="0" applyNumberFormat="1" applyFont="1" applyFill="1" applyBorder="1" applyAlignment="1">
      <alignment horizontal="center"/>
    </xf>
    <xf numFmtId="0" fontId="6" fillId="9" borderId="0" xfId="0" applyNumberFormat="1" applyFont="1" applyFill="1" applyAlignment="1"/>
    <xf numFmtId="0" fontId="0" fillId="0" borderId="0" xfId="0" applyNumberFormat="1" applyAlignment="1"/>
    <xf numFmtId="0" fontId="25" fillId="0" borderId="0" xfId="0" applyFont="1" applyFill="1" applyAlignment="1">
      <alignment horizontal="center"/>
    </xf>
    <xf numFmtId="0" fontId="0" fillId="0" borderId="0" xfId="0" applyFill="1"/>
    <xf numFmtId="3" fontId="3" fillId="9" borderId="1" xfId="0" applyNumberFormat="1" applyFont="1" applyFill="1" applyBorder="1" applyAlignment="1">
      <alignment horizontal="left" vertical="center"/>
    </xf>
    <xf numFmtId="3" fontId="4" fillId="9" borderId="2" xfId="0" applyNumberFormat="1" applyFont="1" applyFill="1" applyBorder="1" applyAlignment="1">
      <alignment horizontal="center" vertical="center"/>
    </xf>
    <xf numFmtId="0" fontId="0" fillId="4" borderId="2" xfId="0" applyFill="1" applyBorder="1"/>
    <xf numFmtId="0" fontId="0" fillId="4" borderId="3" xfId="0" applyFill="1" applyBorder="1"/>
    <xf numFmtId="0" fontId="6" fillId="2" borderId="4" xfId="0" applyNumberFormat="1" applyFont="1" applyFill="1" applyBorder="1" applyAlignment="1">
      <alignment vertical="center"/>
    </xf>
    <xf numFmtId="0" fontId="6" fillId="0" borderId="4" xfId="0" applyNumberFormat="1" applyFont="1" applyFill="1" applyBorder="1" applyAlignment="1">
      <alignment vertical="center"/>
    </xf>
    <xf numFmtId="9" fontId="3" fillId="2" borderId="5" xfId="2" applyFont="1" applyFill="1" applyBorder="1" applyAlignment="1">
      <alignment horizontal="center"/>
    </xf>
    <xf numFmtId="0" fontId="34" fillId="0" borderId="0" xfId="3" applyNumberFormat="1" applyFont="1" applyBorder="1" applyAlignment="1" applyProtection="1">
      <alignment vertical="center"/>
    </xf>
    <xf numFmtId="9" fontId="35" fillId="2" borderId="5" xfId="2" applyFont="1" applyFill="1" applyBorder="1" applyAlignment="1">
      <alignment horizontal="center"/>
    </xf>
    <xf numFmtId="0" fontId="4" fillId="0" borderId="0" xfId="0" applyNumberFormat="1" applyFont="1" applyFill="1" applyBorder="1" applyAlignment="1">
      <alignment horizontal="center"/>
    </xf>
    <xf numFmtId="9" fontId="6" fillId="2" borderId="5" xfId="2" applyFont="1" applyFill="1" applyBorder="1" applyAlignment="1">
      <alignment horizontal="center" vertical="center"/>
    </xf>
    <xf numFmtId="166" fontId="11" fillId="0" borderId="0" xfId="0" applyNumberFormat="1" applyFont="1" applyFill="1" applyBorder="1" applyAlignment="1">
      <alignment horizontal="center"/>
    </xf>
    <xf numFmtId="0" fontId="4" fillId="0" borderId="0" xfId="0" applyNumberFormat="1" applyFont="1" applyAlignment="1">
      <alignment horizontal="center"/>
    </xf>
    <xf numFmtId="0" fontId="4" fillId="0" borderId="9" xfId="0" applyNumberFormat="1" applyFont="1" applyFill="1" applyBorder="1" applyAlignment="1">
      <alignment horizontal="center"/>
    </xf>
    <xf numFmtId="0" fontId="21" fillId="0" borderId="0" xfId="0" applyNumberFormat="1" applyFont="1" applyAlignment="1">
      <alignment horizontal="center"/>
    </xf>
    <xf numFmtId="0" fontId="4" fillId="0" borderId="0" xfId="0" applyNumberFormat="1" applyFont="1" applyFill="1" applyAlignment="1">
      <alignment horizontal="center"/>
    </xf>
    <xf numFmtId="172" fontId="6" fillId="0" borderId="0" xfId="0" applyNumberFormat="1" applyFont="1" applyFill="1" applyAlignment="1">
      <alignment horizontal="center"/>
    </xf>
    <xf numFmtId="6" fontId="6" fillId="0" borderId="0" xfId="0" applyNumberFormat="1" applyFont="1" applyBorder="1" applyAlignment="1"/>
    <xf numFmtId="10" fontId="6" fillId="0" borderId="0" xfId="2" applyNumberFormat="1" applyFont="1" applyAlignment="1"/>
    <xf numFmtId="9" fontId="6" fillId="0" borderId="0" xfId="0" applyNumberFormat="1" applyFont="1" applyAlignment="1"/>
    <xf numFmtId="41" fontId="6" fillId="0" borderId="0" xfId="0" applyNumberFormat="1" applyFont="1" applyAlignment="1"/>
    <xf numFmtId="2" fontId="31" fillId="0" borderId="0" xfId="0" applyNumberFormat="1" applyFont="1" applyFill="1" applyAlignment="1">
      <alignment horizontal="center"/>
    </xf>
    <xf numFmtId="0" fontId="6" fillId="9" borderId="22" xfId="0" applyNumberFormat="1" applyFont="1" applyFill="1" applyBorder="1" applyAlignment="1"/>
    <xf numFmtId="2" fontId="4" fillId="0" borderId="0" xfId="0" applyNumberFormat="1" applyFont="1" applyBorder="1" applyAlignment="1"/>
    <xf numFmtId="0" fontId="6" fillId="0" borderId="22" xfId="0" applyFont="1" applyFill="1" applyBorder="1"/>
    <xf numFmtId="8" fontId="4" fillId="0" borderId="0" xfId="0" applyNumberFormat="1" applyFont="1" applyFill="1" applyBorder="1" applyAlignment="1">
      <alignment horizontal="center"/>
    </xf>
    <xf numFmtId="0" fontId="38" fillId="4" borderId="1" xfId="0" applyFont="1" applyFill="1" applyBorder="1" applyAlignment="1">
      <alignment horizontal="left" vertical="center"/>
    </xf>
    <xf numFmtId="0" fontId="25" fillId="4" borderId="2" xfId="0" applyFont="1" applyFill="1" applyBorder="1" applyAlignment="1">
      <alignment horizontal="center"/>
    </xf>
    <xf numFmtId="0" fontId="39" fillId="6" borderId="1" xfId="0" applyFont="1" applyFill="1" applyBorder="1"/>
    <xf numFmtId="0" fontId="40" fillId="6" borderId="2" xfId="0" applyFont="1" applyFill="1" applyBorder="1"/>
    <xf numFmtId="0" fontId="41" fillId="6" borderId="2" xfId="0" applyFont="1" applyFill="1" applyBorder="1" applyAlignment="1">
      <alignment horizontal="center"/>
    </xf>
    <xf numFmtId="9" fontId="24" fillId="0" borderId="4" xfId="0" applyNumberFormat="1" applyFont="1" applyFill="1" applyBorder="1" applyAlignment="1">
      <alignment horizontal="center"/>
    </xf>
    <xf numFmtId="0" fontId="4" fillId="4" borderId="3" xfId="0" applyNumberFormat="1" applyFont="1" applyFill="1" applyBorder="1" applyAlignment="1">
      <alignment horizontal="center" vertical="center"/>
    </xf>
    <xf numFmtId="9" fontId="6" fillId="0" borderId="0" xfId="2" applyFont="1" applyFill="1" applyBorder="1" applyAlignment="1">
      <alignment horizontal="center" vertical="center"/>
    </xf>
    <xf numFmtId="0" fontId="21" fillId="4" borderId="1" xfId="0" applyFont="1" applyFill="1" applyBorder="1"/>
    <xf numFmtId="0" fontId="6" fillId="4" borderId="2" xfId="0" applyFont="1" applyFill="1" applyBorder="1"/>
    <xf numFmtId="0" fontId="6" fillId="4" borderId="3" xfId="0" applyFont="1" applyFill="1" applyBorder="1"/>
    <xf numFmtId="0" fontId="40" fillId="6" borderId="3" xfId="0" applyFont="1" applyFill="1" applyBorder="1"/>
    <xf numFmtId="0" fontId="6" fillId="2" borderId="5" xfId="0" applyNumberFormat="1" applyFont="1" applyFill="1" applyBorder="1" applyAlignment="1">
      <alignment vertical="center"/>
    </xf>
    <xf numFmtId="169" fontId="6" fillId="0" borderId="5" xfId="1" applyNumberFormat="1" applyFont="1" applyBorder="1" applyAlignment="1">
      <alignment horizontal="center" vertical="center"/>
    </xf>
    <xf numFmtId="0" fontId="0" fillId="0" borderId="4" xfId="0" applyFill="1" applyBorder="1"/>
    <xf numFmtId="0" fontId="4" fillId="9" borderId="29" xfId="0" applyNumberFormat="1" applyFont="1" applyFill="1" applyBorder="1" applyAlignment="1">
      <alignment horizontal="center" vertical="center"/>
    </xf>
    <xf numFmtId="0" fontId="4" fillId="9" borderId="29" xfId="0" applyNumberFormat="1" applyFont="1" applyFill="1" applyBorder="1" applyAlignment="1">
      <alignment horizontal="center" vertical="center" wrapText="1"/>
    </xf>
    <xf numFmtId="0" fontId="33" fillId="2" borderId="0" xfId="0" applyNumberFormat="1" applyFont="1" applyFill="1" applyBorder="1" applyAlignment="1">
      <alignment vertical="center"/>
    </xf>
    <xf numFmtId="9" fontId="7" fillId="2" borderId="0" xfId="2" applyFont="1" applyFill="1" applyBorder="1" applyAlignment="1">
      <alignment horizontal="center" vertical="center"/>
    </xf>
    <xf numFmtId="9" fontId="24" fillId="0" borderId="0" xfId="0" applyNumberFormat="1" applyFont="1" applyFill="1" applyBorder="1" applyAlignment="1">
      <alignment horizontal="center"/>
    </xf>
    <xf numFmtId="0" fontId="6" fillId="0" borderId="0" xfId="0" applyNumberFormat="1" applyFont="1" applyFill="1" applyBorder="1" applyAlignment="1">
      <alignment vertical="center"/>
    </xf>
    <xf numFmtId="169" fontId="6" fillId="0" borderId="0" xfId="1" applyNumberFormat="1" applyFont="1" applyFill="1" applyBorder="1" applyAlignment="1">
      <alignment horizontal="center" vertical="center"/>
    </xf>
    <xf numFmtId="0" fontId="33" fillId="0" borderId="0" xfId="0" applyNumberFormat="1" applyFont="1" applyFill="1" applyBorder="1" applyAlignment="1">
      <alignment vertical="center"/>
    </xf>
    <xf numFmtId="169" fontId="7" fillId="0" borderId="0" xfId="1" applyNumberFormat="1" applyFont="1" applyFill="1" applyBorder="1" applyAlignment="1">
      <alignment horizontal="center" vertical="center"/>
    </xf>
    <xf numFmtId="9" fontId="7" fillId="0" borderId="0" xfId="2" applyFont="1" applyFill="1" applyBorder="1" applyAlignment="1">
      <alignment horizontal="center" vertical="center"/>
    </xf>
    <xf numFmtId="0" fontId="3" fillId="9" borderId="30" xfId="0" applyNumberFormat="1" applyFont="1" applyFill="1" applyBorder="1" applyAlignment="1">
      <alignment vertical="center"/>
    </xf>
    <xf numFmtId="169" fontId="6" fillId="0" borderId="4" xfId="0" applyNumberFormat="1" applyFont="1" applyFill="1" applyBorder="1" applyAlignment="1">
      <alignment vertical="center"/>
    </xf>
    <xf numFmtId="0" fontId="3" fillId="0" borderId="5" xfId="0" applyNumberFormat="1" applyFont="1" applyFill="1" applyBorder="1" applyAlignment="1">
      <alignment vertical="center"/>
    </xf>
    <xf numFmtId="0" fontId="6" fillId="0" borderId="5" xfId="0" applyNumberFormat="1" applyFont="1" applyFill="1" applyBorder="1" applyAlignment="1">
      <alignment vertical="center"/>
    </xf>
    <xf numFmtId="0" fontId="6" fillId="0" borderId="28" xfId="0" applyNumberFormat="1" applyFont="1" applyFill="1" applyBorder="1" applyAlignment="1">
      <alignment vertical="center"/>
    </xf>
    <xf numFmtId="6" fontId="6" fillId="0" borderId="28" xfId="0" applyNumberFormat="1" applyFont="1" applyFill="1" applyBorder="1" applyAlignment="1">
      <alignment vertical="center"/>
    </xf>
    <xf numFmtId="169" fontId="6" fillId="0" borderId="5" xfId="0" applyNumberFormat="1" applyFont="1" applyFill="1" applyBorder="1" applyAlignment="1">
      <alignment vertical="center"/>
    </xf>
    <xf numFmtId="169" fontId="3" fillId="0" borderId="5" xfId="0" applyNumberFormat="1" applyFont="1" applyFill="1" applyBorder="1" applyAlignment="1">
      <alignment vertical="center"/>
    </xf>
    <xf numFmtId="169" fontId="6" fillId="0" borderId="4" xfId="2" applyNumberFormat="1" applyFont="1" applyFill="1" applyBorder="1" applyAlignment="1">
      <alignment vertical="center"/>
    </xf>
    <xf numFmtId="9" fontId="35" fillId="0" borderId="0" xfId="2" applyFont="1" applyFill="1" applyBorder="1" applyAlignment="1">
      <alignment horizontal="center"/>
    </xf>
    <xf numFmtId="165" fontId="7" fillId="0" borderId="0" xfId="1" applyNumberFormat="1" applyFont="1" applyBorder="1" applyAlignment="1">
      <alignment horizontal="center" vertical="center"/>
    </xf>
    <xf numFmtId="169" fontId="6" fillId="0" borderId="4" xfId="1" applyNumberFormat="1" applyFont="1" applyBorder="1" applyAlignment="1">
      <alignment horizontal="center" vertical="center"/>
    </xf>
    <xf numFmtId="0" fontId="6" fillId="2" borderId="28" xfId="0" applyNumberFormat="1" applyFont="1" applyFill="1" applyBorder="1" applyAlignment="1">
      <alignment vertical="center"/>
    </xf>
    <xf numFmtId="169" fontId="6" fillId="0" borderId="28" xfId="1" applyNumberFormat="1" applyFont="1" applyBorder="1" applyAlignment="1">
      <alignment horizontal="center" vertical="center"/>
    </xf>
    <xf numFmtId="169" fontId="6" fillId="0" borderId="28" xfId="2" applyNumberFormat="1" applyFont="1" applyFill="1" applyBorder="1" applyAlignment="1">
      <alignment vertical="center"/>
    </xf>
    <xf numFmtId="0" fontId="4" fillId="0" borderId="0" xfId="0" applyNumberFormat="1" applyFont="1" applyFill="1" applyBorder="1" applyAlignment="1">
      <alignment horizontal="center" vertical="center"/>
    </xf>
    <xf numFmtId="0" fontId="6" fillId="0" borderId="0" xfId="0" applyNumberFormat="1" applyFont="1" applyFill="1" applyBorder="1" applyAlignment="1">
      <alignment horizontal="center"/>
    </xf>
    <xf numFmtId="169" fontId="6" fillId="0" borderId="28" xfId="0" applyNumberFormat="1" applyFont="1" applyFill="1" applyBorder="1" applyAlignment="1">
      <alignment vertical="center"/>
    </xf>
    <xf numFmtId="0" fontId="6" fillId="0" borderId="4" xfId="0" applyNumberFormat="1" applyFont="1" applyFill="1" applyBorder="1" applyAlignment="1">
      <alignment horizontal="right" vertical="center"/>
    </xf>
    <xf numFmtId="0" fontId="6" fillId="0" borderId="28" xfId="0" applyNumberFormat="1" applyFont="1" applyFill="1" applyBorder="1" applyAlignment="1">
      <alignment horizontal="right" vertical="center"/>
    </xf>
    <xf numFmtId="169" fontId="6" fillId="0" borderId="5" xfId="2" applyNumberFormat="1" applyFont="1" applyFill="1" applyBorder="1" applyAlignment="1">
      <alignment vertical="center"/>
    </xf>
    <xf numFmtId="0" fontId="6" fillId="0" borderId="5" xfId="0" applyNumberFormat="1" applyFont="1" applyFill="1" applyBorder="1" applyAlignment="1">
      <alignment horizontal="right" vertical="center"/>
    </xf>
    <xf numFmtId="0" fontId="4" fillId="9" borderId="31" xfId="0" applyNumberFormat="1" applyFont="1" applyFill="1" applyBorder="1" applyAlignment="1">
      <alignment horizontal="center" vertical="center" wrapText="1"/>
    </xf>
    <xf numFmtId="0" fontId="42" fillId="2" borderId="5" xfId="0" applyNumberFormat="1" applyFont="1" applyFill="1" applyBorder="1" applyAlignment="1">
      <alignment vertical="center"/>
    </xf>
    <xf numFmtId="9" fontId="24" fillId="2" borderId="5" xfId="2" applyFont="1" applyFill="1" applyBorder="1" applyAlignment="1">
      <alignment horizontal="center" vertical="center"/>
    </xf>
    <xf numFmtId="0" fontId="42" fillId="2" borderId="4" xfId="0" applyNumberFormat="1" applyFont="1" applyFill="1" applyBorder="1" applyAlignment="1">
      <alignment vertical="center"/>
    </xf>
    <xf numFmtId="169" fontId="24" fillId="0" borderId="4" xfId="1" applyNumberFormat="1" applyFont="1" applyBorder="1" applyAlignment="1">
      <alignment horizontal="center" vertical="center"/>
    </xf>
    <xf numFmtId="0" fontId="42" fillId="2" borderId="28" xfId="0" applyNumberFormat="1" applyFont="1" applyFill="1" applyBorder="1" applyAlignment="1">
      <alignment vertical="center"/>
    </xf>
    <xf numFmtId="169" fontId="24" fillId="0" borderId="28" xfId="1" applyNumberFormat="1" applyFont="1" applyBorder="1" applyAlignment="1">
      <alignment horizontal="center" vertical="center"/>
    </xf>
    <xf numFmtId="9" fontId="24" fillId="2" borderId="28" xfId="2" applyFont="1" applyFill="1" applyBorder="1" applyAlignment="1">
      <alignment horizontal="center" vertical="center"/>
    </xf>
    <xf numFmtId="0" fontId="43" fillId="0" borderId="0" xfId="0" applyFont="1" applyFill="1" applyBorder="1" applyAlignment="1">
      <alignment horizontal="left"/>
    </xf>
    <xf numFmtId="0" fontId="43" fillId="0" borderId="0" xfId="0" applyFont="1" applyFill="1" applyBorder="1"/>
    <xf numFmtId="169" fontId="6" fillId="0" borderId="9" xfId="0" applyNumberFormat="1" applyFont="1" applyFill="1" applyBorder="1" applyAlignment="1"/>
    <xf numFmtId="0" fontId="46" fillId="0" borderId="0" xfId="0" applyFont="1" applyBorder="1"/>
    <xf numFmtId="0" fontId="47" fillId="0" borderId="0" xfId="0" applyFont="1" applyBorder="1"/>
    <xf numFmtId="0" fontId="45" fillId="0" borderId="0" xfId="0" applyFont="1" applyBorder="1" applyAlignment="1">
      <alignment vertical="center"/>
    </xf>
    <xf numFmtId="0" fontId="29" fillId="0" borderId="0" xfId="0" applyFont="1" applyBorder="1" applyAlignment="1">
      <alignment vertical="center"/>
    </xf>
    <xf numFmtId="0" fontId="45" fillId="0" borderId="0" xfId="0" applyFont="1" applyBorder="1" applyAlignment="1">
      <alignment vertical="center" wrapText="1"/>
    </xf>
    <xf numFmtId="0" fontId="45" fillId="0" borderId="0" xfId="0" applyFont="1" applyBorder="1" applyAlignment="1"/>
    <xf numFmtId="0" fontId="45" fillId="0" borderId="0" xfId="0" applyFont="1" applyBorder="1" applyAlignment="1">
      <alignment wrapText="1"/>
    </xf>
    <xf numFmtId="0" fontId="45" fillId="0" borderId="0" xfId="0" applyFont="1" applyBorder="1"/>
    <xf numFmtId="0" fontId="45" fillId="0" borderId="0" xfId="0" applyFont="1" applyFill="1" applyBorder="1" applyAlignment="1">
      <alignment wrapText="1"/>
    </xf>
    <xf numFmtId="0" fontId="45" fillId="0" borderId="0" xfId="0" applyFont="1" applyFill="1" applyBorder="1" applyAlignment="1"/>
    <xf numFmtId="0" fontId="29" fillId="0" borderId="0" xfId="0" applyFont="1" applyBorder="1" applyAlignment="1">
      <alignment wrapText="1"/>
    </xf>
    <xf numFmtId="0" fontId="49" fillId="0" borderId="0" xfId="0" applyFont="1"/>
    <xf numFmtId="0" fontId="49" fillId="0" borderId="0" xfId="0" applyFont="1" applyAlignment="1">
      <alignment horizontal="center"/>
    </xf>
    <xf numFmtId="0" fontId="49" fillId="0" borderId="0" xfId="0" applyFont="1" applyAlignment="1">
      <alignment horizontal="center" vertical="center"/>
    </xf>
    <xf numFmtId="0" fontId="51" fillId="5" borderId="19" xfId="0" applyFont="1" applyFill="1" applyBorder="1" applyAlignment="1">
      <alignment horizontal="center" wrapText="1"/>
    </xf>
    <xf numFmtId="0" fontId="51" fillId="5" borderId="11" xfId="0" applyFont="1" applyFill="1" applyBorder="1" applyAlignment="1">
      <alignment horizontal="center" wrapText="1"/>
    </xf>
    <xf numFmtId="0" fontId="51" fillId="5" borderId="20" xfId="0" applyFont="1" applyFill="1" applyBorder="1" applyAlignment="1">
      <alignment horizontal="center" wrapText="1"/>
    </xf>
    <xf numFmtId="0" fontId="51" fillId="5" borderId="17" xfId="0" applyFont="1" applyFill="1" applyBorder="1" applyAlignment="1">
      <alignment horizontal="center"/>
    </xf>
    <xf numFmtId="0" fontId="51" fillId="5" borderId="0" xfId="0" applyFont="1" applyFill="1" applyBorder="1" applyAlignment="1">
      <alignment horizontal="center"/>
    </xf>
    <xf numFmtId="0" fontId="51" fillId="5" borderId="9" xfId="0" applyFont="1" applyFill="1" applyBorder="1" applyAlignment="1">
      <alignment horizontal="center"/>
    </xf>
    <xf numFmtId="0" fontId="51" fillId="5" borderId="18" xfId="0" applyFont="1" applyFill="1" applyBorder="1" applyAlignment="1">
      <alignment horizontal="center"/>
    </xf>
    <xf numFmtId="0" fontId="49" fillId="0" borderId="19" xfId="0" applyFont="1" applyBorder="1" applyAlignment="1">
      <alignment horizontal="center"/>
    </xf>
    <xf numFmtId="0" fontId="49" fillId="0" borderId="11" xfId="0" applyFont="1" applyBorder="1" applyAlignment="1">
      <alignment horizontal="center"/>
    </xf>
    <xf numFmtId="0" fontId="49" fillId="0" borderId="11" xfId="0" applyFont="1" applyBorder="1"/>
    <xf numFmtId="6" fontId="49" fillId="0" borderId="0" xfId="0" applyNumberFormat="1" applyFont="1" applyBorder="1" applyAlignment="1">
      <alignment horizontal="center" wrapText="1"/>
    </xf>
    <xf numFmtId="0" fontId="49" fillId="0" borderId="0" xfId="0" applyFont="1" applyFill="1" applyBorder="1"/>
    <xf numFmtId="0" fontId="49" fillId="0" borderId="17" xfId="0" applyFont="1" applyBorder="1" applyAlignment="1">
      <alignment horizontal="center"/>
    </xf>
    <xf numFmtId="2" fontId="49" fillId="0" borderId="0" xfId="0" applyNumberFormat="1" applyFont="1" applyBorder="1" applyAlignment="1">
      <alignment horizontal="center" wrapText="1"/>
    </xf>
    <xf numFmtId="10" fontId="49" fillId="0" borderId="0" xfId="2" applyNumberFormat="1" applyFont="1" applyBorder="1" applyAlignment="1">
      <alignment horizontal="center" wrapText="1"/>
    </xf>
    <xf numFmtId="2" fontId="49" fillId="0" borderId="18" xfId="2" applyNumberFormat="1" applyFont="1" applyBorder="1" applyAlignment="1">
      <alignment horizontal="center" wrapText="1"/>
    </xf>
    <xf numFmtId="0" fontId="49" fillId="0" borderId="0" xfId="0" applyFont="1" applyFill="1" applyBorder="1" applyAlignment="1">
      <alignment wrapText="1"/>
    </xf>
    <xf numFmtId="0" fontId="49" fillId="0" borderId="0" xfId="0" applyFont="1" applyAlignment="1">
      <alignment wrapText="1"/>
    </xf>
    <xf numFmtId="0" fontId="49" fillId="0" borderId="17" xfId="0" applyFont="1" applyBorder="1" applyAlignment="1">
      <alignment horizontal="center" wrapText="1"/>
    </xf>
    <xf numFmtId="0" fontId="49" fillId="0" borderId="15" xfId="0" applyFont="1" applyBorder="1"/>
    <xf numFmtId="0" fontId="49" fillId="0" borderId="9" xfId="0" applyFont="1" applyBorder="1"/>
    <xf numFmtId="0" fontId="51" fillId="4" borderId="1" xfId="0" applyFont="1" applyFill="1" applyBorder="1" applyAlignment="1">
      <alignment horizontal="left" vertical="center"/>
    </xf>
    <xf numFmtId="0" fontId="49" fillId="4" borderId="2" xfId="0" applyFont="1" applyFill="1" applyBorder="1" applyAlignment="1">
      <alignment horizontal="left" vertical="center"/>
    </xf>
    <xf numFmtId="0" fontId="52" fillId="4" borderId="2" xfId="0" applyFont="1" applyFill="1" applyBorder="1" applyAlignment="1">
      <alignment horizontal="left" vertical="center"/>
    </xf>
    <xf numFmtId="167" fontId="52" fillId="4" borderId="2" xfId="0" applyNumberFormat="1" applyFont="1" applyFill="1" applyBorder="1" applyAlignment="1">
      <alignment horizontal="left" vertical="center"/>
    </xf>
    <xf numFmtId="0" fontId="52" fillId="4" borderId="3" xfId="0" applyFont="1" applyFill="1" applyBorder="1" applyAlignment="1">
      <alignment horizontal="left" vertical="center"/>
    </xf>
    <xf numFmtId="0" fontId="52" fillId="0" borderId="0" xfId="0" applyFont="1" applyFill="1" applyBorder="1" applyAlignment="1">
      <alignment horizontal="center"/>
    </xf>
    <xf numFmtId="169" fontId="52" fillId="0" borderId="0" xfId="0" applyNumberFormat="1" applyFont="1" applyFill="1" applyBorder="1" applyAlignment="1">
      <alignment horizontal="center"/>
    </xf>
    <xf numFmtId="0" fontId="52" fillId="0" borderId="0" xfId="0" applyFont="1" applyFill="1" applyBorder="1"/>
    <xf numFmtId="0" fontId="53" fillId="0" borderId="11" xfId="0" applyFont="1" applyFill="1" applyBorder="1"/>
    <xf numFmtId="0" fontId="53" fillId="0" borderId="20" xfId="0" applyFont="1" applyFill="1" applyBorder="1"/>
    <xf numFmtId="6" fontId="54" fillId="0" borderId="9" xfId="0" applyNumberFormat="1" applyFont="1" applyFill="1" applyBorder="1" applyAlignment="1">
      <alignment horizontal="center" wrapText="1"/>
    </xf>
    <xf numFmtId="6" fontId="54" fillId="0" borderId="16" xfId="0" applyNumberFormat="1" applyFont="1" applyFill="1" applyBorder="1" applyAlignment="1">
      <alignment horizontal="center" wrapText="1"/>
    </xf>
    <xf numFmtId="6" fontId="54" fillId="0" borderId="0" xfId="0" applyNumberFormat="1" applyFont="1" applyFill="1" applyBorder="1" applyAlignment="1">
      <alignment horizontal="center" wrapText="1"/>
    </xf>
    <xf numFmtId="0" fontId="50" fillId="8" borderId="12" xfId="0" applyFont="1" applyFill="1" applyBorder="1" applyAlignment="1">
      <alignment vertical="center"/>
    </xf>
    <xf numFmtId="0" fontId="50" fillId="8" borderId="13" xfId="0" applyFont="1" applyFill="1" applyBorder="1" applyAlignment="1">
      <alignment vertical="center"/>
    </xf>
    <xf numFmtId="0" fontId="50" fillId="8" borderId="14" xfId="0" applyFont="1" applyFill="1" applyBorder="1" applyAlignment="1">
      <alignment vertical="center"/>
    </xf>
    <xf numFmtId="0" fontId="51" fillId="0" borderId="17" xfId="0" applyFont="1" applyBorder="1"/>
    <xf numFmtId="0" fontId="55" fillId="0" borderId="0" xfId="0" applyFont="1" applyBorder="1" applyAlignment="1">
      <alignment horizontal="center"/>
    </xf>
    <xf numFmtId="0" fontId="51" fillId="0" borderId="15" xfId="0" applyFont="1" applyBorder="1"/>
    <xf numFmtId="0" fontId="55" fillId="0" borderId="9" xfId="0" applyFont="1" applyBorder="1" applyAlignment="1">
      <alignment horizontal="center"/>
    </xf>
    <xf numFmtId="0" fontId="55" fillId="0" borderId="0" xfId="0" applyFont="1" applyAlignment="1">
      <alignment horizontal="center" wrapText="1"/>
    </xf>
    <xf numFmtId="0" fontId="49" fillId="0" borderId="0" xfId="0" applyFont="1" applyBorder="1" applyAlignment="1">
      <alignment wrapText="1"/>
    </xf>
    <xf numFmtId="0" fontId="44" fillId="5" borderId="12" xfId="0" applyFont="1" applyFill="1" applyBorder="1"/>
    <xf numFmtId="0" fontId="49" fillId="0" borderId="0" xfId="0" applyFont="1" applyFill="1" applyBorder="1" applyAlignment="1">
      <alignment horizontal="center"/>
    </xf>
    <xf numFmtId="167" fontId="49" fillId="0" borderId="0" xfId="0" applyNumberFormat="1" applyFont="1" applyFill="1" applyBorder="1" applyAlignment="1">
      <alignment horizontal="center"/>
    </xf>
    <xf numFmtId="164" fontId="49" fillId="0" borderId="21" xfId="2" applyNumberFormat="1" applyFont="1" applyBorder="1" applyAlignment="1">
      <alignment horizontal="center"/>
    </xf>
    <xf numFmtId="164" fontId="49" fillId="0" borderId="0" xfId="2" applyNumberFormat="1" applyFont="1" applyFill="1" applyBorder="1" applyAlignment="1">
      <alignment horizontal="center"/>
    </xf>
    <xf numFmtId="0" fontId="49" fillId="0" borderId="21" xfId="0" applyFont="1" applyBorder="1" applyAlignment="1">
      <alignment horizontal="center"/>
    </xf>
    <xf numFmtId="169" fontId="49" fillId="0" borderId="21" xfId="0" applyNumberFormat="1" applyFont="1" applyBorder="1" applyAlignment="1">
      <alignment horizontal="center"/>
    </xf>
    <xf numFmtId="169" fontId="49" fillId="0" borderId="0" xfId="0" applyNumberFormat="1" applyFont="1" applyFill="1" applyBorder="1" applyAlignment="1">
      <alignment horizontal="center"/>
    </xf>
    <xf numFmtId="0" fontId="55" fillId="0" borderId="0" xfId="0" applyFont="1" applyBorder="1" applyAlignment="1">
      <alignment horizontal="center" wrapText="1"/>
    </xf>
    <xf numFmtId="171" fontId="49" fillId="0" borderId="0" xfId="0" applyNumberFormat="1" applyFont="1" applyFill="1" applyBorder="1" applyAlignment="1">
      <alignment horizontal="center"/>
    </xf>
    <xf numFmtId="9" fontId="49" fillId="0" borderId="21" xfId="0" applyNumberFormat="1" applyFont="1" applyBorder="1" applyAlignment="1">
      <alignment horizontal="center"/>
    </xf>
    <xf numFmtId="9" fontId="49" fillId="0" borderId="0" xfId="0" applyNumberFormat="1" applyFont="1" applyFill="1" applyBorder="1" applyAlignment="1">
      <alignment horizontal="center"/>
    </xf>
    <xf numFmtId="9" fontId="49" fillId="0" borderId="0" xfId="0" applyNumberFormat="1" applyFont="1" applyBorder="1" applyAlignment="1">
      <alignment horizontal="center"/>
    </xf>
    <xf numFmtId="0" fontId="49" fillId="0" borderId="5" xfId="0" applyFont="1" applyBorder="1" applyAlignment="1">
      <alignment horizontal="center"/>
    </xf>
    <xf numFmtId="0" fontId="49" fillId="0" borderId="0" xfId="0" applyFont="1" applyBorder="1"/>
    <xf numFmtId="0" fontId="30" fillId="5" borderId="23" xfId="0" applyFont="1" applyFill="1" applyBorder="1" applyAlignment="1">
      <alignment vertical="center"/>
    </xf>
    <xf numFmtId="0" fontId="30" fillId="5" borderId="10" xfId="0" applyFont="1" applyFill="1" applyBorder="1" applyAlignment="1">
      <alignment vertical="center"/>
    </xf>
    <xf numFmtId="0" fontId="45" fillId="5" borderId="24" xfId="0" applyFont="1" applyFill="1" applyBorder="1" applyAlignment="1">
      <alignment vertical="center"/>
    </xf>
    <xf numFmtId="0" fontId="29" fillId="8" borderId="8" xfId="0" applyFont="1" applyFill="1" applyBorder="1" applyAlignment="1">
      <alignment vertical="center"/>
    </xf>
    <xf numFmtId="0" fontId="45" fillId="8" borderId="25" xfId="0" applyFont="1" applyFill="1" applyBorder="1" applyAlignment="1">
      <alignment vertical="center"/>
    </xf>
    <xf numFmtId="0" fontId="29" fillId="8" borderId="0" xfId="0" applyFont="1" applyFill="1" applyBorder="1" applyAlignment="1">
      <alignment vertical="center"/>
    </xf>
    <xf numFmtId="0" fontId="29" fillId="8" borderId="25" xfId="0" applyFont="1" applyFill="1" applyBorder="1" applyAlignment="1">
      <alignment vertical="center"/>
    </xf>
    <xf numFmtId="0" fontId="29" fillId="8" borderId="8" xfId="0" applyFont="1" applyFill="1" applyBorder="1" applyAlignment="1">
      <alignment horizontal="left" vertical="top" wrapText="1"/>
    </xf>
    <xf numFmtId="0" fontId="45" fillId="8" borderId="0" xfId="0" applyFont="1" applyFill="1" applyBorder="1" applyAlignment="1">
      <alignment vertical="center" wrapText="1"/>
    </xf>
    <xf numFmtId="0" fontId="45" fillId="8" borderId="25" xfId="0" applyFont="1" applyFill="1" applyBorder="1" applyAlignment="1">
      <alignment vertical="center" wrapText="1"/>
    </xf>
    <xf numFmtId="0" fontId="45" fillId="8" borderId="8" xfId="0" applyFont="1" applyFill="1" applyBorder="1" applyAlignment="1"/>
    <xf numFmtId="0" fontId="45" fillId="8" borderId="0" xfId="0" applyFont="1" applyFill="1" applyBorder="1" applyAlignment="1"/>
    <xf numFmtId="0" fontId="45" fillId="8" borderId="25" xfId="0" applyFont="1" applyFill="1" applyBorder="1" applyAlignment="1"/>
    <xf numFmtId="0" fontId="29" fillId="8" borderId="8" xfId="0" applyFont="1" applyFill="1" applyBorder="1" applyAlignment="1">
      <alignment vertical="top" wrapText="1"/>
    </xf>
    <xf numFmtId="0" fontId="45" fillId="8" borderId="0" xfId="0" applyFont="1" applyFill="1" applyBorder="1" applyAlignment="1">
      <alignment wrapText="1"/>
    </xf>
    <xf numFmtId="0" fontId="45" fillId="8" borderId="25" xfId="0" applyFont="1" applyFill="1" applyBorder="1" applyAlignment="1">
      <alignment wrapText="1"/>
    </xf>
    <xf numFmtId="0" fontId="46" fillId="8" borderId="0" xfId="0" applyFont="1" applyFill="1" applyBorder="1" applyAlignment="1">
      <alignment vertical="center"/>
    </xf>
    <xf numFmtId="0" fontId="29" fillId="8" borderId="25" xfId="0" applyFont="1" applyFill="1" applyBorder="1" applyAlignment="1">
      <alignment wrapText="1"/>
    </xf>
    <xf numFmtId="0" fontId="45" fillId="8" borderId="26" xfId="0" applyFont="1" applyFill="1" applyBorder="1" applyAlignment="1"/>
    <xf numFmtId="0" fontId="45" fillId="8" borderId="22" xfId="0" applyFont="1" applyFill="1" applyBorder="1" applyAlignment="1"/>
    <xf numFmtId="0" fontId="45" fillId="8" borderId="27" xfId="0" applyFont="1" applyFill="1" applyBorder="1" applyAlignment="1"/>
    <xf numFmtId="2" fontId="49" fillId="0" borderId="0" xfId="0" applyNumberFormat="1" applyFont="1" applyBorder="1"/>
    <xf numFmtId="9" fontId="57" fillId="0" borderId="0" xfId="0" applyNumberFormat="1" applyFont="1" applyBorder="1" applyAlignment="1">
      <alignment horizontal="center"/>
    </xf>
    <xf numFmtId="0" fontId="57" fillId="0" borderId="0" xfId="0" applyFont="1" applyBorder="1" applyAlignment="1">
      <alignment horizontal="center"/>
    </xf>
    <xf numFmtId="0" fontId="50" fillId="0" borderId="0" xfId="0" applyFont="1" applyFill="1" applyBorder="1" applyAlignment="1">
      <alignment vertical="center"/>
    </xf>
    <xf numFmtId="0" fontId="49" fillId="0" borderId="0" xfId="0" applyFont="1" applyFill="1"/>
    <xf numFmtId="9" fontId="50" fillId="0" borderId="0" xfId="0" applyNumberFormat="1" applyFont="1" applyFill="1" applyBorder="1" applyAlignment="1">
      <alignment vertical="center"/>
    </xf>
    <xf numFmtId="0" fontId="49" fillId="0" borderId="0" xfId="0" applyFont="1" applyBorder="1" applyAlignment="1"/>
    <xf numFmtId="0" fontId="6" fillId="0" borderId="0" xfId="0" applyFont="1" applyFill="1" applyBorder="1" applyAlignment="1">
      <alignment horizontal="right"/>
    </xf>
    <xf numFmtId="0" fontId="36" fillId="0" borderId="0" xfId="0" applyNumberFormat="1" applyFont="1" applyAlignment="1">
      <alignment horizontal="center"/>
    </xf>
    <xf numFmtId="0" fontId="6" fillId="0" borderId="0" xfId="0" applyNumberFormat="1" applyFont="1" applyFill="1" applyBorder="1" applyAlignment="1">
      <alignment horizontal="left" vertical="center"/>
    </xf>
    <xf numFmtId="9" fontId="28" fillId="0" borderId="0" xfId="0" applyNumberFormat="1" applyFont="1" applyAlignment="1">
      <alignment horizontal="center"/>
    </xf>
    <xf numFmtId="0" fontId="49" fillId="0" borderId="17" xfId="0" applyFont="1" applyFill="1" applyBorder="1"/>
    <xf numFmtId="0" fontId="4" fillId="0" borderId="4" xfId="0" applyNumberFormat="1" applyFont="1" applyBorder="1" applyAlignment="1">
      <alignment horizontal="center"/>
    </xf>
    <xf numFmtId="0" fontId="3" fillId="8" borderId="0" xfId="0" applyNumberFormat="1" applyFont="1" applyFill="1" applyAlignment="1"/>
    <xf numFmtId="0" fontId="6" fillId="8" borderId="0" xfId="0" applyNumberFormat="1" applyFont="1" applyFill="1" applyAlignment="1"/>
    <xf numFmtId="0" fontId="6" fillId="8" borderId="0" xfId="0" applyNumberFormat="1" applyFont="1" applyFill="1" applyAlignment="1">
      <alignment horizontal="center"/>
    </xf>
    <xf numFmtId="0" fontId="37" fillId="8" borderId="0" xfId="0" applyNumberFormat="1" applyFont="1" applyFill="1" applyAlignment="1"/>
    <xf numFmtId="0" fontId="22" fillId="8" borderId="0" xfId="0" applyNumberFormat="1" applyFont="1" applyFill="1" applyAlignment="1">
      <alignment horizontal="center"/>
    </xf>
    <xf numFmtId="169" fontId="6" fillId="8" borderId="0" xfId="0" applyNumberFormat="1" applyFont="1" applyFill="1" applyAlignment="1">
      <alignment horizontal="center"/>
    </xf>
    <xf numFmtId="0" fontId="7" fillId="8" borderId="0" xfId="0" applyNumberFormat="1" applyFont="1" applyFill="1" applyAlignment="1"/>
    <xf numFmtId="10" fontId="12" fillId="8" borderId="0" xfId="2" applyNumberFormat="1" applyFont="1" applyFill="1"/>
    <xf numFmtId="10" fontId="6" fillId="8" borderId="0" xfId="2" applyNumberFormat="1" applyFont="1" applyFill="1"/>
    <xf numFmtId="169" fontId="36" fillId="8" borderId="0" xfId="0" applyNumberFormat="1" applyFont="1" applyFill="1" applyAlignment="1">
      <alignment horizontal="center"/>
    </xf>
    <xf numFmtId="169" fontId="6" fillId="8" borderId="0" xfId="0" applyNumberFormat="1" applyFont="1" applyFill="1" applyAlignment="1"/>
    <xf numFmtId="169" fontId="6" fillId="8" borderId="0" xfId="0" applyNumberFormat="1" applyFont="1" applyFill="1" applyBorder="1" applyAlignment="1"/>
    <xf numFmtId="169" fontId="6" fillId="8" borderId="0" xfId="2" applyNumberFormat="1" applyFont="1" applyFill="1"/>
    <xf numFmtId="169" fontId="6" fillId="8" borderId="0" xfId="2" applyNumberFormat="1" applyFont="1" applyFill="1" applyBorder="1"/>
    <xf numFmtId="0" fontId="6" fillId="8" borderId="9" xfId="0" applyNumberFormat="1" applyFont="1" applyFill="1" applyBorder="1" applyAlignment="1"/>
    <xf numFmtId="169" fontId="6" fillId="8" borderId="9" xfId="0" applyNumberFormat="1" applyFont="1" applyFill="1" applyBorder="1" applyAlignment="1"/>
    <xf numFmtId="0" fontId="6" fillId="8" borderId="0" xfId="0" applyNumberFormat="1" applyFont="1" applyFill="1" applyBorder="1" applyAlignment="1"/>
    <xf numFmtId="169" fontId="4" fillId="8" borderId="0" xfId="0" applyNumberFormat="1" applyFont="1" applyFill="1" applyBorder="1" applyAlignment="1">
      <alignment horizontal="center" vertical="center"/>
    </xf>
    <xf numFmtId="1" fontId="6" fillId="8" borderId="0" xfId="2" applyNumberFormat="1" applyFont="1" applyFill="1" applyBorder="1"/>
    <xf numFmtId="169" fontId="6" fillId="8" borderId="0" xfId="0" applyNumberFormat="1" applyFont="1" applyFill="1" applyBorder="1" applyAlignment="1">
      <alignment horizontal="right"/>
    </xf>
    <xf numFmtId="0" fontId="6" fillId="8" borderId="0" xfId="0" applyNumberFormat="1" applyFont="1" applyFill="1" applyAlignment="1">
      <alignment horizontal="left" indent="1"/>
    </xf>
    <xf numFmtId="6" fontId="6" fillId="8" borderId="0" xfId="0" applyNumberFormat="1" applyFont="1" applyFill="1" applyBorder="1" applyAlignment="1">
      <alignment horizontal="right"/>
    </xf>
    <xf numFmtId="0" fontId="4" fillId="8" borderId="22" xfId="0" applyNumberFormat="1" applyFont="1" applyFill="1" applyBorder="1" applyAlignment="1">
      <alignment horizontal="right"/>
    </xf>
    <xf numFmtId="0" fontId="6" fillId="8" borderId="22" xfId="0" applyNumberFormat="1" applyFont="1" applyFill="1" applyBorder="1" applyAlignment="1"/>
    <xf numFmtId="0" fontId="3" fillId="8" borderId="22" xfId="0" applyNumberFormat="1" applyFont="1" applyFill="1" applyBorder="1" applyAlignment="1">
      <alignment horizontal="center"/>
    </xf>
    <xf numFmtId="10" fontId="6" fillId="8" borderId="22" xfId="2" applyNumberFormat="1" applyFont="1" applyFill="1" applyBorder="1" applyAlignment="1">
      <alignment horizontal="right"/>
    </xf>
    <xf numFmtId="0" fontId="3" fillId="8" borderId="0" xfId="0" applyNumberFormat="1" applyFont="1" applyFill="1" applyBorder="1" applyAlignment="1">
      <alignment horizontal="center"/>
    </xf>
    <xf numFmtId="10" fontId="6" fillId="8" borderId="0" xfId="2" applyNumberFormat="1" applyFont="1" applyFill="1" applyBorder="1" applyAlignment="1">
      <alignment horizontal="right"/>
    </xf>
    <xf numFmtId="175" fontId="3" fillId="8" borderId="0" xfId="0" applyNumberFormat="1" applyFont="1" applyFill="1" applyAlignment="1">
      <alignment horizontal="left"/>
    </xf>
    <xf numFmtId="175" fontId="6" fillId="8" borderId="0" xfId="0" applyNumberFormat="1" applyFont="1" applyFill="1" applyAlignment="1">
      <alignment horizontal="left"/>
    </xf>
    <xf numFmtId="41" fontId="6" fillId="8" borderId="0" xfId="0" applyNumberFormat="1" applyFont="1" applyFill="1" applyBorder="1" applyAlignment="1">
      <alignment horizontal="right" wrapText="1"/>
    </xf>
    <xf numFmtId="174" fontId="32" fillId="8" borderId="0" xfId="1" applyNumberFormat="1" applyFont="1" applyFill="1" applyBorder="1" applyAlignment="1">
      <alignment horizontal="right"/>
    </xf>
    <xf numFmtId="9" fontId="6" fillId="8" borderId="0" xfId="0" applyNumberFormat="1" applyFont="1" applyFill="1" applyBorder="1" applyAlignment="1">
      <alignment horizontal="right" wrapText="1"/>
    </xf>
    <xf numFmtId="41" fontId="6" fillId="8" borderId="4" xfId="0" applyNumberFormat="1" applyFont="1" applyFill="1" applyBorder="1" applyAlignment="1">
      <alignment horizontal="right" wrapText="1"/>
    </xf>
    <xf numFmtId="175" fontId="6" fillId="8" borderId="0" xfId="0" applyNumberFormat="1" applyFont="1" applyFill="1" applyAlignment="1">
      <alignment horizontal="left" indent="2"/>
    </xf>
    <xf numFmtId="175" fontId="6" fillId="8" borderId="0" xfId="0" applyNumberFormat="1" applyFont="1" applyFill="1" applyAlignment="1">
      <alignment horizontal="right"/>
    </xf>
    <xf numFmtId="175" fontId="6" fillId="8" borderId="0" xfId="0" applyNumberFormat="1" applyFont="1" applyFill="1" applyAlignment="1">
      <alignment horizontal="left" indent="1"/>
    </xf>
    <xf numFmtId="41" fontId="12" fillId="8" borderId="0" xfId="0" applyNumberFormat="1" applyFont="1" applyFill="1" applyBorder="1" applyAlignment="1">
      <alignment horizontal="right" wrapText="1"/>
    </xf>
    <xf numFmtId="6" fontId="6" fillId="8" borderId="0" xfId="0" applyNumberFormat="1" applyFont="1" applyFill="1" applyAlignment="1">
      <alignment horizontal="right" wrapText="1"/>
    </xf>
    <xf numFmtId="175" fontId="6" fillId="8" borderId="0" xfId="0" applyNumberFormat="1" applyFont="1" applyFill="1" applyBorder="1" applyAlignment="1">
      <alignment horizontal="left" indent="1"/>
    </xf>
    <xf numFmtId="41" fontId="6" fillId="8" borderId="0" xfId="0" applyNumberFormat="1" applyFont="1" applyFill="1" applyAlignment="1">
      <alignment horizontal="right" wrapText="1"/>
    </xf>
    <xf numFmtId="175" fontId="6" fillId="8" borderId="0" xfId="0" applyNumberFormat="1" applyFont="1" applyFill="1" applyAlignment="1">
      <alignment horizontal="right" wrapText="1"/>
    </xf>
    <xf numFmtId="41" fontId="12" fillId="8" borderId="0" xfId="0" applyNumberFormat="1" applyFont="1" applyFill="1" applyAlignment="1">
      <alignment horizontal="right" wrapText="1"/>
    </xf>
    <xf numFmtId="41" fontId="12" fillId="8" borderId="9" xfId="0" applyNumberFormat="1" applyFont="1" applyFill="1" applyBorder="1" applyAlignment="1">
      <alignment horizontal="right" wrapText="1"/>
    </xf>
    <xf numFmtId="6" fontId="6" fillId="8" borderId="9" xfId="0" applyNumberFormat="1" applyFont="1" applyFill="1" applyBorder="1" applyAlignment="1">
      <alignment horizontal="right" wrapText="1"/>
    </xf>
    <xf numFmtId="0" fontId="0" fillId="8" borderId="0" xfId="0" applyNumberFormat="1" applyFill="1" applyAlignment="1"/>
    <xf numFmtId="175" fontId="6" fillId="8" borderId="22" xfId="0" applyNumberFormat="1" applyFont="1" applyFill="1" applyBorder="1" applyAlignment="1">
      <alignment horizontal="left" indent="1"/>
    </xf>
    <xf numFmtId="0" fontId="0" fillId="8" borderId="22" xfId="0" applyNumberFormat="1" applyFill="1" applyBorder="1" applyAlignment="1"/>
    <xf numFmtId="6" fontId="6" fillId="8" borderId="22" xfId="0" applyNumberFormat="1" applyFont="1" applyFill="1" applyBorder="1" applyAlignment="1">
      <alignment horizontal="right" wrapText="1"/>
    </xf>
    <xf numFmtId="169" fontId="58" fillId="8" borderId="0" xfId="0" applyNumberFormat="1" applyFont="1" applyFill="1" applyBorder="1" applyAlignment="1"/>
    <xf numFmtId="9" fontId="59" fillId="0" borderId="0" xfId="0" applyNumberFormat="1" applyFont="1" applyFill="1" applyBorder="1" applyAlignment="1">
      <alignment horizontal="center"/>
    </xf>
    <xf numFmtId="0" fontId="45" fillId="8" borderId="0" xfId="0" applyFont="1" applyFill="1" applyBorder="1" applyAlignment="1">
      <alignment vertical="top" wrapText="1"/>
    </xf>
    <xf numFmtId="0" fontId="30" fillId="5" borderId="8" xfId="0" applyFont="1" applyFill="1" applyBorder="1" applyAlignment="1">
      <alignment vertical="center"/>
    </xf>
    <xf numFmtId="0" fontId="30" fillId="5" borderId="0" xfId="0" applyFont="1" applyFill="1" applyBorder="1" applyAlignment="1">
      <alignment vertical="center"/>
    </xf>
    <xf numFmtId="0" fontId="45" fillId="5" borderId="25" xfId="0" applyFont="1" applyFill="1" applyBorder="1" applyAlignment="1">
      <alignment vertical="center"/>
    </xf>
    <xf numFmtId="0" fontId="45" fillId="8" borderId="0" xfId="0" applyFont="1" applyFill="1" applyBorder="1" applyAlignment="1">
      <alignment horizontal="left" vertical="center"/>
    </xf>
    <xf numFmtId="0" fontId="45" fillId="8" borderId="0" xfId="0" applyFont="1" applyFill="1" applyBorder="1" applyAlignment="1">
      <alignment horizontal="left" vertical="center" wrapText="1"/>
    </xf>
    <xf numFmtId="165" fontId="0" fillId="0" borderId="0" xfId="1" applyNumberFormat="1" applyFont="1"/>
    <xf numFmtId="9" fontId="24" fillId="6" borderId="5" xfId="0" applyNumberFormat="1" applyFont="1" applyFill="1" applyBorder="1" applyAlignment="1">
      <alignment horizontal="center"/>
    </xf>
    <xf numFmtId="0" fontId="42" fillId="2" borderId="6" xfId="0" applyNumberFormat="1" applyFont="1" applyFill="1" applyBorder="1" applyAlignment="1">
      <alignment vertical="center"/>
    </xf>
    <xf numFmtId="169" fontId="24" fillId="0" borderId="6" xfId="1" applyNumberFormat="1" applyFont="1" applyBorder="1" applyAlignment="1">
      <alignment horizontal="center" vertical="center"/>
    </xf>
    <xf numFmtId="2" fontId="6" fillId="0" borderId="0" xfId="0" applyNumberFormat="1" applyFont="1" applyFill="1" applyAlignment="1">
      <alignment horizontal="right"/>
    </xf>
    <xf numFmtId="6" fontId="6" fillId="8" borderId="0" xfId="0" applyNumberFormat="1" applyFont="1" applyFill="1" applyAlignment="1">
      <alignment horizontal="right" vertical="center" wrapText="1"/>
    </xf>
    <xf numFmtId="0" fontId="56" fillId="0" borderId="0" xfId="0" applyFont="1" applyBorder="1" applyAlignment="1">
      <alignment horizontal="center" vertical="center" wrapText="1"/>
    </xf>
    <xf numFmtId="164" fontId="51" fillId="0" borderId="17" xfId="2" applyNumberFormat="1" applyFont="1" applyFill="1" applyBorder="1" applyAlignment="1">
      <alignment horizontal="center"/>
    </xf>
    <xf numFmtId="10" fontId="49" fillId="0" borderId="21" xfId="0" applyNumberFormat="1" applyFont="1" applyBorder="1" applyAlignment="1">
      <alignment horizontal="center"/>
    </xf>
    <xf numFmtId="0" fontId="6" fillId="9" borderId="30" xfId="0" applyNumberFormat="1" applyFont="1" applyFill="1" applyBorder="1" applyAlignment="1">
      <alignment horizontal="center" vertical="center"/>
    </xf>
    <xf numFmtId="0" fontId="6" fillId="9" borderId="7" xfId="0" applyNumberFormat="1" applyFont="1" applyFill="1" applyBorder="1" applyAlignment="1">
      <alignment horizontal="center" vertical="center" wrapText="1"/>
    </xf>
    <xf numFmtId="0" fontId="61" fillId="0" borderId="0" xfId="0" applyFont="1" applyFill="1" applyBorder="1" applyAlignment="1">
      <alignment vertical="center"/>
    </xf>
    <xf numFmtId="0" fontId="0" fillId="0" borderId="22" xfId="0" applyBorder="1"/>
    <xf numFmtId="0" fontId="6" fillId="0" borderId="25" xfId="0" applyFont="1" applyFill="1" applyBorder="1"/>
    <xf numFmtId="0" fontId="62" fillId="0" borderId="0" xfId="0" applyFont="1" applyFill="1" applyBorder="1" applyAlignment="1">
      <alignment vertical="center"/>
    </xf>
    <xf numFmtId="176" fontId="4" fillId="0" borderId="4" xfId="0" applyNumberFormat="1" applyFont="1" applyFill="1" applyBorder="1" applyAlignment="1">
      <alignment horizontal="center"/>
    </xf>
    <xf numFmtId="2" fontId="44" fillId="0" borderId="22" xfId="0" applyNumberFormat="1" applyFont="1" applyFill="1" applyBorder="1" applyAlignment="1">
      <alignment horizontal="center"/>
    </xf>
    <xf numFmtId="6" fontId="63" fillId="0" borderId="0" xfId="0" applyNumberFormat="1" applyFont="1" applyAlignment="1"/>
    <xf numFmtId="6" fontId="63" fillId="0" borderId="9" xfId="0" applyNumberFormat="1" applyFont="1" applyBorder="1" applyAlignment="1"/>
    <xf numFmtId="0" fontId="51" fillId="0" borderId="0" xfId="0" applyFont="1" applyBorder="1"/>
    <xf numFmtId="164" fontId="51" fillId="0" borderId="0" xfId="2" applyNumberFormat="1" applyFont="1" applyFill="1" applyBorder="1" applyAlignment="1">
      <alignment horizontal="center"/>
    </xf>
    <xf numFmtId="0" fontId="49" fillId="0" borderId="4" xfId="0" applyFont="1" applyBorder="1"/>
    <xf numFmtId="0" fontId="51" fillId="0" borderId="9" xfId="0" applyFont="1" applyFill="1" applyBorder="1" applyAlignment="1">
      <alignment horizontal="center"/>
    </xf>
    <xf numFmtId="0" fontId="55" fillId="5" borderId="14" xfId="0" applyFont="1" applyFill="1" applyBorder="1" applyAlignment="1">
      <alignment horizontal="center"/>
    </xf>
    <xf numFmtId="0" fontId="6" fillId="0" borderId="0" xfId="0" applyNumberFormat="1" applyFont="1" applyAlignment="1">
      <alignment wrapText="1"/>
    </xf>
    <xf numFmtId="9" fontId="6" fillId="0" borderId="9" xfId="0" applyNumberFormat="1" applyFont="1" applyBorder="1" applyAlignment="1"/>
    <xf numFmtId="9" fontId="64" fillId="0" borderId="0" xfId="0" applyNumberFormat="1" applyFont="1" applyAlignment="1"/>
    <xf numFmtId="6" fontId="6" fillId="8" borderId="0" xfId="0" applyNumberFormat="1" applyFont="1" applyFill="1" applyBorder="1" applyAlignment="1"/>
    <xf numFmtId="0" fontId="22" fillId="8" borderId="0" xfId="0" applyNumberFormat="1" applyFont="1" applyFill="1" applyAlignment="1"/>
    <xf numFmtId="0" fontId="8" fillId="0" borderId="23" xfId="0" applyFont="1" applyFill="1" applyBorder="1" applyAlignment="1">
      <alignment horizontal="center"/>
    </xf>
    <xf numFmtId="0" fontId="8" fillId="0" borderId="10" xfId="0" applyFont="1" applyFill="1" applyBorder="1" applyAlignment="1">
      <alignment horizontal="center"/>
    </xf>
    <xf numFmtId="0" fontId="6" fillId="0" borderId="10" xfId="0" applyFont="1" applyFill="1" applyBorder="1"/>
    <xf numFmtId="6" fontId="3" fillId="0" borderId="22" xfId="0" applyNumberFormat="1" applyFont="1" applyBorder="1" applyAlignment="1"/>
    <xf numFmtId="1" fontId="24" fillId="0" borderId="0" xfId="0" applyNumberFormat="1" applyFont="1" applyFill="1" applyBorder="1" applyAlignment="1">
      <alignment horizontal="right"/>
    </xf>
    <xf numFmtId="164" fontId="24" fillId="0" borderId="0" xfId="2" applyNumberFormat="1" applyFont="1" applyFill="1" applyBorder="1" applyAlignment="1">
      <alignment horizontal="right"/>
    </xf>
    <xf numFmtId="3" fontId="6" fillId="0" borderId="0" xfId="0" applyNumberFormat="1" applyFont="1" applyFill="1" applyBorder="1" applyAlignment="1">
      <alignment horizontal="right"/>
    </xf>
    <xf numFmtId="0" fontId="24" fillId="0" borderId="0" xfId="0" applyFont="1" applyFill="1" applyBorder="1" applyAlignment="1">
      <alignment horizontal="right"/>
    </xf>
    <xf numFmtId="171" fontId="24" fillId="0" borderId="0" xfId="1" applyNumberFormat="1" applyFont="1" applyFill="1" applyBorder="1" applyAlignment="1">
      <alignment horizontal="right"/>
    </xf>
    <xf numFmtId="6" fontId="24" fillId="0" borderId="0" xfId="0" applyNumberFormat="1" applyFont="1" applyFill="1" applyBorder="1" applyAlignment="1">
      <alignment horizontal="right"/>
    </xf>
    <xf numFmtId="169" fontId="6" fillId="0" borderId="0" xfId="0" applyNumberFormat="1" applyFont="1" applyFill="1" applyBorder="1" applyAlignment="1">
      <alignment horizontal="right"/>
    </xf>
    <xf numFmtId="169" fontId="6" fillId="0" borderId="0" xfId="1" applyNumberFormat="1" applyFont="1" applyFill="1" applyBorder="1" applyAlignment="1">
      <alignment horizontal="right"/>
    </xf>
    <xf numFmtId="6" fontId="6" fillId="0" borderId="0" xfId="0" applyNumberFormat="1" applyFont="1" applyFill="1" applyBorder="1" applyAlignment="1">
      <alignment horizontal="right"/>
    </xf>
    <xf numFmtId="164" fontId="24" fillId="0" borderId="0" xfId="0" applyNumberFormat="1" applyFont="1" applyFill="1" applyBorder="1" applyAlignment="1">
      <alignment horizontal="right"/>
    </xf>
    <xf numFmtId="2" fontId="24" fillId="0" borderId="0" xfId="2" applyNumberFormat="1" applyFont="1" applyFill="1" applyBorder="1" applyAlignment="1">
      <alignment horizontal="right"/>
    </xf>
    <xf numFmtId="2" fontId="6" fillId="0" borderId="0" xfId="2" applyNumberFormat="1" applyFont="1" applyFill="1" applyBorder="1" applyAlignment="1">
      <alignment horizontal="right"/>
    </xf>
    <xf numFmtId="2" fontId="24" fillId="0" borderId="0" xfId="0" applyNumberFormat="1" applyFont="1" applyFill="1" applyBorder="1" applyAlignment="1">
      <alignment horizontal="center"/>
    </xf>
    <xf numFmtId="9" fontId="24" fillId="0" borderId="0" xfId="2" applyFont="1" applyFill="1" applyBorder="1" applyAlignment="1">
      <alignment horizontal="center"/>
    </xf>
    <xf numFmtId="164" fontId="5" fillId="0" borderId="0" xfId="2" applyNumberFormat="1" applyFont="1" applyFill="1" applyBorder="1" applyAlignment="1">
      <alignment horizontal="center"/>
    </xf>
    <xf numFmtId="171" fontId="6" fillId="0" borderId="0" xfId="1" applyNumberFormat="1" applyFont="1" applyFill="1" applyBorder="1" applyAlignment="1">
      <alignment horizontal="right"/>
    </xf>
    <xf numFmtId="170" fontId="4" fillId="0" borderId="0" xfId="0" applyNumberFormat="1" applyFont="1" applyFill="1" applyBorder="1" applyAlignment="1">
      <alignment horizontal="center"/>
    </xf>
    <xf numFmtId="171" fontId="24" fillId="0" borderId="0" xfId="0" applyNumberFormat="1" applyFont="1" applyFill="1" applyBorder="1" applyAlignment="1">
      <alignment horizontal="right"/>
    </xf>
    <xf numFmtId="2" fontId="24" fillId="0" borderId="0" xfId="0" applyNumberFormat="1" applyFont="1" applyFill="1" applyBorder="1" applyAlignment="1">
      <alignment horizontal="right"/>
    </xf>
    <xf numFmtId="169" fontId="24" fillId="0" borderId="0" xfId="0" applyNumberFormat="1" applyFont="1" applyFill="1" applyBorder="1" applyAlignment="1">
      <alignment horizontal="right"/>
    </xf>
    <xf numFmtId="9" fontId="12" fillId="0" borderId="0" xfId="2" applyFont="1" applyFill="1" applyBorder="1" applyAlignment="1">
      <alignment horizontal="right"/>
    </xf>
    <xf numFmtId="9" fontId="24" fillId="0" borderId="0" xfId="2" applyNumberFormat="1" applyFont="1" applyFill="1" applyBorder="1" applyAlignment="1">
      <alignment horizontal="right"/>
    </xf>
    <xf numFmtId="10" fontId="24" fillId="0" borderId="0" xfId="2" applyNumberFormat="1" applyFont="1" applyFill="1" applyBorder="1" applyAlignment="1">
      <alignment horizontal="right"/>
    </xf>
    <xf numFmtId="9" fontId="6" fillId="0" borderId="0" xfId="2" applyNumberFormat="1" applyFont="1" applyFill="1" applyBorder="1" applyAlignment="1">
      <alignment horizontal="right"/>
    </xf>
    <xf numFmtId="9" fontId="5" fillId="0" borderId="0" xfId="2" applyFont="1" applyFill="1" applyBorder="1" applyAlignment="1">
      <alignment horizontal="right"/>
    </xf>
    <xf numFmtId="0" fontId="15" fillId="0" borderId="32" xfId="0" applyFont="1" applyFill="1" applyBorder="1" applyAlignment="1">
      <alignment horizontal="center"/>
    </xf>
    <xf numFmtId="10" fontId="4" fillId="0" borderId="0" xfId="2" applyNumberFormat="1" applyFont="1" applyFill="1" applyBorder="1" applyAlignment="1">
      <alignment horizontal="right"/>
    </xf>
    <xf numFmtId="0" fontId="6" fillId="0" borderId="26" xfId="0" applyFont="1" applyFill="1" applyBorder="1"/>
    <xf numFmtId="0" fontId="6" fillId="0" borderId="24" xfId="0" applyFont="1" applyFill="1" applyBorder="1"/>
    <xf numFmtId="0" fontId="3" fillId="0" borderId="8" xfId="0" applyFont="1" applyFill="1" applyBorder="1" applyAlignment="1">
      <alignment horizontal="center"/>
    </xf>
    <xf numFmtId="164" fontId="4" fillId="0" borderId="0" xfId="2" applyNumberFormat="1" applyFont="1" applyAlignment="1">
      <alignment horizontal="center"/>
    </xf>
    <xf numFmtId="174" fontId="3" fillId="0" borderId="0" xfId="5" applyNumberFormat="1" applyFont="1" applyFill="1" applyBorder="1" applyAlignment="1">
      <alignment horizontal="center"/>
    </xf>
    <xf numFmtId="2" fontId="0" fillId="0" borderId="0" xfId="0" applyNumberFormat="1"/>
    <xf numFmtId="9" fontId="4" fillId="0" borderId="0" xfId="2" applyFont="1" applyAlignment="1">
      <alignment horizontal="center"/>
    </xf>
    <xf numFmtId="9" fontId="4" fillId="0" borderId="0" xfId="0" applyNumberFormat="1" applyFont="1" applyAlignment="1">
      <alignment horizontal="center"/>
    </xf>
    <xf numFmtId="0" fontId="22" fillId="0" borderId="0" xfId="0" applyNumberFormat="1" applyFont="1" applyFill="1" applyBorder="1" applyAlignment="1"/>
    <xf numFmtId="2" fontId="36" fillId="0" borderId="0" xfId="0" applyNumberFormat="1" applyFont="1" applyBorder="1" applyAlignment="1"/>
    <xf numFmtId="0" fontId="6" fillId="0" borderId="27" xfId="0" applyFont="1" applyFill="1" applyBorder="1"/>
    <xf numFmtId="0" fontId="3" fillId="0" borderId="22" xfId="0" applyFont="1" applyFill="1" applyBorder="1" applyAlignment="1">
      <alignment horizontal="center"/>
    </xf>
    <xf numFmtId="0" fontId="6" fillId="0" borderId="9" xfId="0" applyNumberFormat="1" applyFont="1" applyBorder="1" applyAlignment="1">
      <alignment wrapText="1"/>
    </xf>
    <xf numFmtId="0" fontId="66" fillId="0" borderId="19" xfId="0" applyFont="1" applyBorder="1"/>
    <xf numFmtId="0" fontId="66" fillId="0" borderId="20" xfId="0" applyFont="1" applyBorder="1"/>
    <xf numFmtId="6" fontId="66" fillId="0" borderId="17" xfId="0" applyNumberFormat="1" applyFont="1" applyBorder="1" applyAlignment="1">
      <alignment horizontal="center" wrapText="1"/>
    </xf>
    <xf numFmtId="6" fontId="66" fillId="0" borderId="18" xfId="0" applyNumberFormat="1" applyFont="1" applyBorder="1" applyAlignment="1">
      <alignment horizontal="center" wrapText="1"/>
    </xf>
    <xf numFmtId="0" fontId="66" fillId="0" borderId="15" xfId="0" applyFont="1" applyBorder="1"/>
    <xf numFmtId="0" fontId="66" fillId="0" borderId="16" xfId="0" applyFont="1" applyBorder="1"/>
    <xf numFmtId="6" fontId="67" fillId="0" borderId="0" xfId="0" applyNumberFormat="1" applyFont="1" applyAlignment="1"/>
    <xf numFmtId="6" fontId="15" fillId="0" borderId="0" xfId="0" applyNumberFormat="1" applyFont="1" applyFill="1" applyAlignment="1"/>
    <xf numFmtId="0" fontId="60" fillId="5" borderId="1" xfId="0" applyFont="1" applyFill="1" applyBorder="1"/>
    <xf numFmtId="0" fontId="6" fillId="5" borderId="3" xfId="0" applyFont="1" applyFill="1" applyBorder="1"/>
    <xf numFmtId="170" fontId="4" fillId="3" borderId="0" xfId="0" applyNumberFormat="1" applyFont="1" applyFill="1" applyBorder="1" applyAlignment="1">
      <alignment horizontal="center"/>
    </xf>
    <xf numFmtId="0" fontId="6" fillId="3" borderId="0" xfId="0" applyFont="1" applyFill="1" applyBorder="1"/>
    <xf numFmtId="14" fontId="6" fillId="3" borderId="0" xfId="0" applyNumberFormat="1" applyFont="1" applyFill="1" applyBorder="1" applyAlignment="1">
      <alignment horizontal="center"/>
    </xf>
    <xf numFmtId="168" fontId="5" fillId="0" borderId="0" xfId="0" applyNumberFormat="1" applyFont="1" applyFill="1" applyBorder="1" applyAlignment="1">
      <alignment horizontal="center"/>
    </xf>
    <xf numFmtId="167" fontId="5" fillId="0" borderId="0" xfId="0" applyNumberFormat="1" applyFont="1" applyFill="1" applyBorder="1" applyAlignment="1">
      <alignment horizontal="center"/>
    </xf>
    <xf numFmtId="169" fontId="5" fillId="0" borderId="0" xfId="1" applyNumberFormat="1" applyFont="1" applyFill="1" applyBorder="1" applyAlignment="1">
      <alignment horizontal="center"/>
    </xf>
    <xf numFmtId="169" fontId="6" fillId="0" borderId="0" xfId="1" applyNumberFormat="1" applyFont="1" applyFill="1" applyBorder="1" applyAlignment="1">
      <alignment horizontal="center"/>
    </xf>
    <xf numFmtId="171" fontId="5" fillId="0" borderId="0" xfId="1" applyNumberFormat="1" applyFont="1" applyFill="1" applyBorder="1" applyAlignment="1">
      <alignment horizontal="center"/>
    </xf>
    <xf numFmtId="164" fontId="5" fillId="3" borderId="0" xfId="2" applyNumberFormat="1" applyFont="1" applyFill="1" applyBorder="1" applyAlignment="1">
      <alignment horizontal="center"/>
    </xf>
    <xf numFmtId="0" fontId="3" fillId="3" borderId="0" xfId="0" applyFont="1" applyFill="1" applyBorder="1" applyAlignment="1">
      <alignment horizontal="center"/>
    </xf>
    <xf numFmtId="9" fontId="5" fillId="0" borderId="0" xfId="2" applyFont="1" applyFill="1" applyBorder="1" applyAlignment="1">
      <alignment horizontal="center"/>
    </xf>
    <xf numFmtId="0" fontId="8" fillId="5" borderId="10" xfId="0" applyFont="1" applyFill="1" applyBorder="1" applyAlignment="1">
      <alignment vertical="center"/>
    </xf>
    <xf numFmtId="0" fontId="62" fillId="5" borderId="10" xfId="0" applyFont="1" applyFill="1" applyBorder="1" applyAlignment="1">
      <alignment vertical="center"/>
    </xf>
    <xf numFmtId="0" fontId="62" fillId="5" borderId="24" xfId="0" applyFont="1" applyFill="1" applyBorder="1" applyAlignment="1">
      <alignment vertical="center"/>
    </xf>
    <xf numFmtId="1" fontId="0" fillId="0" borderId="0" xfId="0" applyNumberFormat="1" applyAlignment="1"/>
    <xf numFmtId="10" fontId="6" fillId="8" borderId="0" xfId="2" applyNumberFormat="1" applyFont="1" applyFill="1" applyAlignment="1">
      <alignment horizontal="right" wrapText="1"/>
    </xf>
    <xf numFmtId="6" fontId="22" fillId="8" borderId="0" xfId="0" applyNumberFormat="1" applyFont="1" applyFill="1" applyAlignment="1">
      <alignment horizontal="center" wrapText="1"/>
    </xf>
    <xf numFmtId="177" fontId="6" fillId="8" borderId="0" xfId="0" applyNumberFormat="1" applyFont="1" applyFill="1" applyAlignment="1">
      <alignment horizontal="center" wrapText="1"/>
    </xf>
    <xf numFmtId="1" fontId="24" fillId="8" borderId="0" xfId="0" applyNumberFormat="1" applyFont="1" applyFill="1" applyAlignment="1">
      <alignment horizontal="right" wrapText="1"/>
    </xf>
    <xf numFmtId="177" fontId="6" fillId="8" borderId="0" xfId="0" applyNumberFormat="1" applyFont="1" applyFill="1" applyAlignment="1">
      <alignment horizontal="right" wrapText="1"/>
    </xf>
    <xf numFmtId="0" fontId="0" fillId="0" borderId="0" xfId="0" applyNumberFormat="1" applyFill="1" applyAlignment="1"/>
    <xf numFmtId="1" fontId="0" fillId="0" borderId="0" xfId="0" applyNumberFormat="1" applyFill="1" applyAlignment="1"/>
    <xf numFmtId="1" fontId="0" fillId="8" borderId="22" xfId="0" applyNumberFormat="1" applyFill="1" applyBorder="1" applyAlignment="1"/>
    <xf numFmtId="175" fontId="3" fillId="8" borderId="0" xfId="0" applyNumberFormat="1" applyFont="1" applyFill="1" applyAlignment="1">
      <alignment horizontal="left" indent="1"/>
    </xf>
    <xf numFmtId="176" fontId="4" fillId="0" borderId="0" xfId="0" applyNumberFormat="1" applyFont="1" applyFill="1" applyAlignment="1">
      <alignment horizontal="center"/>
    </xf>
    <xf numFmtId="1" fontId="43" fillId="0" borderId="0" xfId="0" applyNumberFormat="1" applyFont="1" applyFill="1" applyBorder="1" applyAlignment="1">
      <alignment horizontal="center"/>
    </xf>
    <xf numFmtId="0" fontId="8" fillId="0" borderId="33" xfId="0" applyFont="1" applyFill="1" applyBorder="1" applyAlignment="1">
      <alignment horizontal="center"/>
    </xf>
    <xf numFmtId="0" fontId="3" fillId="0" borderId="34" xfId="0" applyFont="1" applyFill="1" applyBorder="1" applyAlignment="1">
      <alignment horizontal="center"/>
    </xf>
    <xf numFmtId="0" fontId="69" fillId="5" borderId="4" xfId="0" applyNumberFormat="1" applyFont="1" applyFill="1" applyBorder="1" applyAlignment="1">
      <alignment horizontal="center"/>
    </xf>
    <xf numFmtId="0" fontId="69" fillId="5" borderId="6" xfId="0" applyNumberFormat="1" applyFont="1" applyFill="1" applyBorder="1" applyAlignment="1">
      <alignment horizontal="center"/>
    </xf>
    <xf numFmtId="2" fontId="16" fillId="5" borderId="5" xfId="0" applyNumberFormat="1" applyFont="1" applyFill="1" applyBorder="1" applyAlignment="1">
      <alignment horizontal="center"/>
    </xf>
    <xf numFmtId="0" fontId="70" fillId="0" borderId="0" xfId="0" applyFont="1" applyFill="1" applyBorder="1"/>
    <xf numFmtId="0" fontId="21" fillId="5" borderId="2" xfId="0" applyNumberFormat="1" applyFont="1" applyFill="1" applyBorder="1" applyAlignment="1">
      <alignment horizontal="center"/>
    </xf>
    <xf numFmtId="0" fontId="22" fillId="0" borderId="0" xfId="0" applyFont="1" applyFill="1" applyBorder="1" applyAlignment="1">
      <alignment horizontal="center"/>
    </xf>
    <xf numFmtId="0" fontId="21" fillId="5" borderId="1" xfId="0" applyFont="1" applyFill="1" applyBorder="1"/>
    <xf numFmtId="0" fontId="6" fillId="4" borderId="0" xfId="0" applyFont="1" applyFill="1" applyBorder="1"/>
    <xf numFmtId="0" fontId="3" fillId="4" borderId="0" xfId="0" applyFont="1" applyFill="1" applyBorder="1" applyAlignment="1">
      <alignment horizontal="center"/>
    </xf>
    <xf numFmtId="0" fontId="6" fillId="4" borderId="23" xfId="0" applyFont="1" applyFill="1" applyBorder="1"/>
    <xf numFmtId="0" fontId="6" fillId="4" borderId="10" xfId="0" applyFont="1" applyFill="1" applyBorder="1"/>
    <xf numFmtId="0" fontId="3" fillId="4" borderId="10" xfId="0" applyFont="1" applyFill="1" applyBorder="1" applyAlignment="1">
      <alignment horizontal="center"/>
    </xf>
    <xf numFmtId="0" fontId="6" fillId="4" borderId="24" xfId="0" applyFont="1" applyFill="1" applyBorder="1"/>
    <xf numFmtId="0" fontId="6" fillId="4" borderId="8" xfId="0" applyFont="1" applyFill="1" applyBorder="1"/>
    <xf numFmtId="0" fontId="71" fillId="4" borderId="0" xfId="0" applyFont="1" applyFill="1" applyBorder="1" applyAlignment="1"/>
    <xf numFmtId="0" fontId="6" fillId="4" borderId="25" xfId="0" applyFont="1" applyFill="1" applyBorder="1"/>
    <xf numFmtId="0" fontId="6" fillId="4" borderId="26" xfId="0" applyFont="1" applyFill="1" applyBorder="1"/>
    <xf numFmtId="0" fontId="6" fillId="4" borderId="22" xfId="0" applyFont="1" applyFill="1" applyBorder="1"/>
    <xf numFmtId="0" fontId="71" fillId="4" borderId="22" xfId="0" applyFont="1" applyFill="1" applyBorder="1" applyAlignment="1"/>
    <xf numFmtId="0" fontId="3" fillId="4" borderId="22" xfId="0" applyFont="1" applyFill="1" applyBorder="1" applyAlignment="1">
      <alignment horizontal="center"/>
    </xf>
    <xf numFmtId="0" fontId="6" fillId="4" borderId="27" xfId="0" applyFont="1" applyFill="1" applyBorder="1"/>
    <xf numFmtId="0" fontId="60" fillId="4" borderId="10" xfId="0" applyNumberFormat="1" applyFont="1" applyFill="1" applyBorder="1" applyAlignment="1"/>
    <xf numFmtId="0" fontId="51" fillId="0" borderId="12" xfId="0" applyFont="1" applyBorder="1" applyAlignment="1">
      <alignment vertical="center"/>
    </xf>
    <xf numFmtId="0" fontId="49" fillId="0" borderId="14" xfId="0" applyFont="1" applyBorder="1"/>
    <xf numFmtId="44" fontId="6" fillId="0" borderId="0" xfId="1" applyFont="1" applyFill="1" applyBorder="1"/>
    <xf numFmtId="0" fontId="16" fillId="5" borderId="4" xfId="0" applyFont="1" applyFill="1" applyBorder="1" applyAlignment="1">
      <alignment horizontal="center"/>
    </xf>
    <xf numFmtId="164" fontId="24" fillId="0" borderId="4" xfId="2" applyNumberFormat="1" applyFont="1" applyFill="1" applyBorder="1" applyAlignment="1">
      <alignment horizontal="center"/>
    </xf>
    <xf numFmtId="0" fontId="70" fillId="0" borderId="0" xfId="0" applyFont="1" applyFill="1" applyBorder="1" applyAlignment="1">
      <alignment horizontal="center"/>
    </xf>
    <xf numFmtId="0" fontId="4" fillId="0" borderId="5" xfId="0" applyNumberFormat="1" applyFont="1" applyFill="1" applyBorder="1" applyAlignment="1">
      <alignment horizontal="center"/>
    </xf>
    <xf numFmtId="164" fontId="16" fillId="5" borderId="6" xfId="2" applyNumberFormat="1" applyFont="1" applyFill="1" applyBorder="1" applyAlignment="1">
      <alignment horizontal="center"/>
    </xf>
    <xf numFmtId="0" fontId="6" fillId="12" borderId="0" xfId="0" applyFont="1" applyFill="1" applyBorder="1"/>
    <xf numFmtId="169" fontId="6" fillId="12" borderId="0" xfId="0" applyNumberFormat="1" applyFont="1" applyFill="1" applyBorder="1" applyAlignment="1">
      <alignment horizontal="center"/>
    </xf>
    <xf numFmtId="170" fontId="4" fillId="12" borderId="0" xfId="0" applyNumberFormat="1" applyFont="1" applyFill="1" applyBorder="1" applyAlignment="1">
      <alignment horizontal="center"/>
    </xf>
    <xf numFmtId="9" fontId="5" fillId="12" borderId="0" xfId="2" applyFont="1" applyFill="1" applyBorder="1" applyAlignment="1">
      <alignment horizontal="center"/>
    </xf>
    <xf numFmtId="169" fontId="5" fillId="12" borderId="0" xfId="2" applyNumberFormat="1" applyFont="1" applyFill="1" applyBorder="1" applyAlignment="1">
      <alignment horizontal="center"/>
    </xf>
    <xf numFmtId="0" fontId="15" fillId="12" borderId="0" xfId="0" applyFont="1" applyFill="1" applyBorder="1" applyAlignment="1">
      <alignment horizontal="center"/>
    </xf>
    <xf numFmtId="0" fontId="3" fillId="12" borderId="0" xfId="0" applyFont="1" applyFill="1" applyBorder="1" applyAlignment="1">
      <alignment horizontal="center"/>
    </xf>
    <xf numFmtId="0" fontId="5" fillId="12" borderId="0" xfId="0" applyNumberFormat="1" applyFont="1" applyFill="1" applyBorder="1" applyAlignment="1">
      <alignment horizontal="center"/>
    </xf>
    <xf numFmtId="2" fontId="0" fillId="8" borderId="0" xfId="0" applyNumberFormat="1" applyFill="1" applyAlignment="1"/>
    <xf numFmtId="6" fontId="3" fillId="0" borderId="0" xfId="0" applyNumberFormat="1" applyFont="1" applyFill="1" applyBorder="1" applyAlignment="1">
      <alignment horizontal="center"/>
    </xf>
    <xf numFmtId="0" fontId="3" fillId="0" borderId="33" xfId="0" applyNumberFormat="1" applyFont="1" applyBorder="1" applyAlignment="1">
      <alignment horizontal="center"/>
    </xf>
    <xf numFmtId="2" fontId="44" fillId="10" borderId="35" xfId="0" applyNumberFormat="1" applyFont="1" applyFill="1" applyBorder="1" applyAlignment="1">
      <alignment horizontal="center"/>
    </xf>
    <xf numFmtId="0" fontId="21" fillId="0" borderId="35" xfId="0" applyNumberFormat="1" applyFont="1" applyBorder="1" applyAlignment="1">
      <alignment horizontal="center"/>
    </xf>
    <xf numFmtId="0" fontId="55" fillId="0" borderId="13" xfId="0" applyFont="1" applyBorder="1" applyAlignment="1">
      <alignment horizontal="center"/>
    </xf>
    <xf numFmtId="164" fontId="72" fillId="0" borderId="14" xfId="2" applyNumberFormat="1" applyFont="1" applyFill="1" applyBorder="1" applyAlignment="1">
      <alignment horizontal="center"/>
    </xf>
    <xf numFmtId="0" fontId="77" fillId="0" borderId="12" xfId="0" applyFont="1" applyBorder="1"/>
    <xf numFmtId="2" fontId="3" fillId="0" borderId="0" xfId="0" applyNumberFormat="1" applyFont="1" applyFill="1" applyBorder="1" applyAlignment="1">
      <alignment horizontal="center"/>
    </xf>
    <xf numFmtId="1" fontId="81" fillId="0" borderId="0" xfId="0" applyNumberFormat="1" applyFont="1" applyFill="1" applyBorder="1" applyAlignment="1">
      <alignment horizontal="center"/>
    </xf>
    <xf numFmtId="6" fontId="27" fillId="0" borderId="0" xfId="0" applyNumberFormat="1" applyFont="1" applyFill="1" applyBorder="1" applyAlignment="1">
      <alignment horizontal="center"/>
    </xf>
    <xf numFmtId="6" fontId="80" fillId="0" borderId="0" xfId="0" applyNumberFormat="1" applyFont="1" applyFill="1" applyBorder="1" applyAlignment="1"/>
    <xf numFmtId="6" fontId="80" fillId="0" borderId="0" xfId="0" applyNumberFormat="1" applyFont="1" applyFill="1" applyBorder="1" applyAlignment="1">
      <alignment horizontal="center"/>
    </xf>
    <xf numFmtId="1" fontId="80" fillId="0" borderId="0" xfId="0" applyNumberFormat="1" applyFont="1" applyFill="1" applyBorder="1" applyAlignment="1">
      <alignment horizontal="center"/>
    </xf>
    <xf numFmtId="0" fontId="81" fillId="0" borderId="0" xfId="0" applyNumberFormat="1" applyFont="1" applyFill="1" applyBorder="1" applyAlignment="1"/>
    <xf numFmtId="0" fontId="6" fillId="0" borderId="18" xfId="0" applyFont="1" applyFill="1" applyBorder="1"/>
    <xf numFmtId="0" fontId="8" fillId="0" borderId="17" xfId="0" applyFont="1" applyFill="1" applyBorder="1" applyAlignment="1">
      <alignment horizontal="center"/>
    </xf>
    <xf numFmtId="0" fontId="51" fillId="5" borderId="1" xfId="0" applyFont="1" applyFill="1" applyBorder="1"/>
    <xf numFmtId="0" fontId="55" fillId="5" borderId="2" xfId="0" applyFont="1" applyFill="1" applyBorder="1" applyAlignment="1">
      <alignment horizontal="center"/>
    </xf>
    <xf numFmtId="0" fontId="72" fillId="7" borderId="7" xfId="0" applyFont="1" applyFill="1" applyBorder="1" applyAlignment="1">
      <alignment horizontal="center"/>
    </xf>
    <xf numFmtId="1" fontId="28" fillId="0" borderId="5" xfId="0" applyNumberFormat="1" applyFont="1" applyBorder="1" applyAlignment="1">
      <alignment horizontal="center"/>
    </xf>
    <xf numFmtId="2" fontId="24" fillId="0" borderId="5" xfId="0" applyNumberFormat="1" applyFont="1" applyBorder="1" applyAlignment="1">
      <alignment horizontal="center"/>
    </xf>
    <xf numFmtId="1" fontId="28" fillId="0" borderId="4" xfId="0" applyNumberFormat="1" applyFont="1" applyBorder="1" applyAlignment="1">
      <alignment horizontal="center"/>
    </xf>
    <xf numFmtId="2" fontId="24" fillId="0" borderId="4" xfId="0" applyNumberFormat="1" applyFont="1" applyBorder="1" applyAlignment="1">
      <alignment horizontal="center"/>
    </xf>
    <xf numFmtId="164" fontId="82" fillId="3" borderId="6" xfId="2" applyNumberFormat="1" applyFont="1" applyFill="1" applyBorder="1" applyAlignment="1">
      <alignment horizontal="center" vertical="center" wrapText="1"/>
    </xf>
    <xf numFmtId="0" fontId="4" fillId="0" borderId="0" xfId="0" applyFont="1" applyFill="1" applyBorder="1" applyAlignment="1">
      <alignment horizontal="center"/>
    </xf>
    <xf numFmtId="3" fontId="3" fillId="5" borderId="6" xfId="0" applyNumberFormat="1" applyFont="1" applyFill="1" applyBorder="1" applyAlignment="1">
      <alignment horizontal="left"/>
    </xf>
    <xf numFmtId="166" fontId="11" fillId="0" borderId="25" xfId="0" applyNumberFormat="1" applyFont="1" applyFill="1" applyBorder="1" applyAlignment="1">
      <alignment horizontal="center"/>
    </xf>
    <xf numFmtId="1" fontId="43" fillId="0" borderId="25" xfId="0" applyNumberFormat="1" applyFont="1" applyFill="1" applyBorder="1" applyAlignment="1">
      <alignment horizontal="center"/>
    </xf>
    <xf numFmtId="1" fontId="43" fillId="0" borderId="25" xfId="0" applyNumberFormat="1" applyFont="1" applyFill="1" applyBorder="1" applyAlignment="1">
      <alignment horizontal="left"/>
    </xf>
    <xf numFmtId="2" fontId="6" fillId="0" borderId="0" xfId="0" applyNumberFormat="1" applyFont="1" applyFill="1" applyBorder="1" applyAlignment="1">
      <alignment horizontal="center"/>
    </xf>
    <xf numFmtId="2" fontId="70" fillId="0" borderId="0" xfId="2" applyNumberFormat="1" applyFont="1" applyFill="1" applyBorder="1" applyAlignment="1">
      <alignment horizontal="right"/>
    </xf>
    <xf numFmtId="0" fontId="51" fillId="13" borderId="12" xfId="0" applyFont="1" applyFill="1" applyBorder="1" applyAlignment="1">
      <alignment wrapText="1"/>
    </xf>
    <xf numFmtId="0" fontId="55" fillId="13" borderId="14" xfId="0" applyFont="1" applyFill="1" applyBorder="1" applyAlignment="1">
      <alignment horizontal="center"/>
    </xf>
    <xf numFmtId="0" fontId="51" fillId="13" borderId="17" xfId="0" applyFont="1" applyFill="1" applyBorder="1" applyAlignment="1">
      <alignment wrapText="1"/>
    </xf>
    <xf numFmtId="0" fontId="55" fillId="13" borderId="0" xfId="0" applyFont="1" applyFill="1" applyBorder="1" applyAlignment="1">
      <alignment horizontal="center"/>
    </xf>
    <xf numFmtId="166" fontId="21" fillId="5" borderId="3" xfId="0" applyNumberFormat="1" applyFont="1" applyFill="1" applyBorder="1" applyAlignment="1">
      <alignment horizontal="center"/>
    </xf>
    <xf numFmtId="0" fontId="3" fillId="0" borderId="0" xfId="0" applyFont="1" applyFill="1" applyBorder="1" applyAlignment="1">
      <alignment horizontal="left"/>
    </xf>
    <xf numFmtId="0" fontId="62" fillId="5" borderId="1" xfId="0" applyFont="1" applyFill="1" applyBorder="1" applyAlignment="1">
      <alignment vertical="center"/>
    </xf>
    <xf numFmtId="3" fontId="3" fillId="5" borderId="6" xfId="0" applyNumberFormat="1" applyFont="1" applyFill="1" applyBorder="1" applyAlignment="1">
      <alignment horizontal="center"/>
    </xf>
    <xf numFmtId="0" fontId="6" fillId="0" borderId="23" xfId="0" applyFont="1" applyFill="1" applyBorder="1"/>
    <xf numFmtId="0" fontId="24" fillId="0" borderId="10" xfId="0" applyFont="1" applyFill="1" applyBorder="1" applyAlignment="1">
      <alignment horizontal="center" vertical="center"/>
    </xf>
    <xf numFmtId="0" fontId="6" fillId="0" borderId="10" xfId="0" applyFont="1" applyFill="1" applyBorder="1" applyAlignment="1">
      <alignment horizontal="center"/>
    </xf>
    <xf numFmtId="0" fontId="24" fillId="0" borderId="24" xfId="0" applyFont="1" applyFill="1" applyBorder="1" applyAlignment="1">
      <alignment horizontal="center" vertical="center"/>
    </xf>
    <xf numFmtId="0" fontId="15" fillId="0" borderId="5" xfId="0" applyFont="1" applyFill="1" applyBorder="1" applyAlignment="1">
      <alignment horizontal="center"/>
    </xf>
    <xf numFmtId="0" fontId="27" fillId="0" borderId="0" xfId="0" applyFont="1" applyFill="1" applyBorder="1" applyAlignment="1"/>
    <xf numFmtId="0" fontId="15" fillId="0" borderId="40" xfId="0" applyFont="1" applyFill="1" applyBorder="1" applyAlignment="1">
      <alignment horizontal="center"/>
    </xf>
    <xf numFmtId="10" fontId="3" fillId="11" borderId="3" xfId="2" applyNumberFormat="1" applyFont="1" applyFill="1" applyBorder="1" applyAlignment="1">
      <alignment horizontal="center" vertical="center"/>
    </xf>
    <xf numFmtId="6" fontId="6" fillId="11" borderId="3" xfId="0" applyNumberFormat="1" applyFont="1" applyFill="1" applyBorder="1" applyAlignment="1">
      <alignment horizontal="center"/>
    </xf>
    <xf numFmtId="0" fontId="3" fillId="11" borderId="1" xfId="0" applyNumberFormat="1" applyFont="1" applyFill="1" applyBorder="1" applyAlignment="1">
      <alignment horizontal="left" vertical="center" wrapText="1"/>
    </xf>
    <xf numFmtId="0" fontId="3" fillId="11" borderId="3" xfId="0" applyNumberFormat="1" applyFont="1" applyFill="1" applyBorder="1" applyAlignment="1">
      <alignment horizontal="left" vertical="center" wrapText="1"/>
    </xf>
    <xf numFmtId="169" fontId="3" fillId="8" borderId="0" xfId="0" applyNumberFormat="1" applyFont="1" applyFill="1" applyAlignment="1">
      <alignment horizontal="center"/>
    </xf>
    <xf numFmtId="9" fontId="6" fillId="8" borderId="0" xfId="2" applyFont="1" applyFill="1" applyAlignment="1">
      <alignment horizontal="center"/>
    </xf>
    <xf numFmtId="169" fontId="4" fillId="8" borderId="0" xfId="0" applyNumberFormat="1" applyFont="1" applyFill="1" applyAlignment="1">
      <alignment horizontal="center"/>
    </xf>
    <xf numFmtId="169" fontId="6" fillId="8" borderId="9" xfId="0" applyNumberFormat="1" applyFont="1" applyFill="1" applyBorder="1" applyAlignment="1">
      <alignment horizontal="center"/>
    </xf>
    <xf numFmtId="9" fontId="6" fillId="8" borderId="9" xfId="2" applyFont="1" applyFill="1" applyBorder="1" applyAlignment="1">
      <alignment horizontal="center"/>
    </xf>
    <xf numFmtId="0" fontId="29" fillId="8" borderId="8" xfId="0" applyFont="1" applyFill="1" applyBorder="1" applyAlignment="1">
      <alignment vertical="center" wrapText="1"/>
    </xf>
    <xf numFmtId="0" fontId="85" fillId="8" borderId="25" xfId="0" applyFont="1" applyFill="1" applyBorder="1" applyAlignment="1">
      <alignment horizontal="center" wrapText="1"/>
    </xf>
    <xf numFmtId="0" fontId="45" fillId="8" borderId="25" xfId="0" applyFont="1" applyFill="1" applyBorder="1" applyAlignment="1">
      <alignment horizontal="center" wrapText="1"/>
    </xf>
    <xf numFmtId="0" fontId="45" fillId="12" borderId="25" xfId="0" applyFont="1" applyFill="1" applyBorder="1"/>
    <xf numFmtId="0" fontId="45" fillId="3" borderId="25" xfId="0" applyFont="1" applyFill="1" applyBorder="1"/>
    <xf numFmtId="0" fontId="84" fillId="6" borderId="25" xfId="0" applyFont="1" applyFill="1" applyBorder="1" applyAlignment="1">
      <alignment horizontal="center" wrapText="1"/>
    </xf>
    <xf numFmtId="0" fontId="86" fillId="0" borderId="25" xfId="0" applyFont="1" applyFill="1" applyBorder="1" applyAlignment="1">
      <alignment horizontal="center" vertical="center" wrapText="1"/>
    </xf>
    <xf numFmtId="3" fontId="55" fillId="0" borderId="21" xfId="0" applyNumberFormat="1" applyFont="1" applyBorder="1" applyAlignment="1">
      <alignment horizontal="center"/>
    </xf>
    <xf numFmtId="166" fontId="21" fillId="5" borderId="2" xfId="0" applyNumberFormat="1" applyFont="1" applyFill="1" applyBorder="1" applyAlignment="1">
      <alignment horizontal="center"/>
    </xf>
    <xf numFmtId="0" fontId="6" fillId="0" borderId="30" xfId="0" applyFont="1" applyBorder="1"/>
    <xf numFmtId="0" fontId="4" fillId="2" borderId="29" xfId="0" applyNumberFormat="1" applyFont="1" applyFill="1" applyBorder="1" applyAlignment="1">
      <alignment horizontal="center"/>
    </xf>
    <xf numFmtId="2" fontId="24" fillId="6" borderId="31" xfId="0" applyNumberFormat="1" applyFont="1" applyFill="1" applyBorder="1" applyAlignment="1">
      <alignment horizontal="center"/>
    </xf>
    <xf numFmtId="0" fontId="68" fillId="5" borderId="41" xfId="0" applyFont="1" applyFill="1" applyBorder="1" applyAlignment="1">
      <alignment horizontal="left" indent="1"/>
    </xf>
    <xf numFmtId="0" fontId="69" fillId="5" borderId="42" xfId="0" applyFont="1" applyFill="1" applyBorder="1" applyAlignment="1">
      <alignment horizontal="center"/>
    </xf>
    <xf numFmtId="169" fontId="16" fillId="5" borderId="43" xfId="0" applyNumberFormat="1" applyFont="1" applyFill="1" applyBorder="1" applyAlignment="1">
      <alignment horizontal="right"/>
    </xf>
    <xf numFmtId="0" fontId="68" fillId="5" borderId="44" xfId="0" applyFont="1" applyFill="1" applyBorder="1" applyAlignment="1">
      <alignment horizontal="left" indent="1"/>
    </xf>
    <xf numFmtId="6" fontId="16" fillId="5" borderId="32" xfId="0" applyNumberFormat="1" applyFont="1" applyFill="1" applyBorder="1" applyAlignment="1">
      <alignment horizontal="right"/>
    </xf>
    <xf numFmtId="0" fontId="68" fillId="5" borderId="44" xfId="0" applyNumberFormat="1" applyFont="1" applyFill="1" applyBorder="1" applyAlignment="1">
      <alignment horizontal="left" indent="1"/>
    </xf>
    <xf numFmtId="169" fontId="68" fillId="5" borderId="45" xfId="0" applyNumberFormat="1" applyFont="1" applyFill="1" applyBorder="1" applyAlignment="1">
      <alignment horizontal="right"/>
    </xf>
    <xf numFmtId="0" fontId="73" fillId="5" borderId="46" xfId="3" applyFont="1" applyFill="1" applyBorder="1" applyAlignment="1" applyProtection="1"/>
    <xf numFmtId="0" fontId="69" fillId="5" borderId="36" xfId="0" applyNumberFormat="1" applyFont="1" applyFill="1" applyBorder="1" applyAlignment="1">
      <alignment horizontal="center"/>
    </xf>
    <xf numFmtId="169" fontId="6" fillId="5" borderId="40" xfId="1" applyNumberFormat="1" applyFont="1" applyFill="1" applyBorder="1" applyAlignment="1">
      <alignment horizontal="right"/>
    </xf>
    <xf numFmtId="0" fontId="6" fillId="0" borderId="41" xfId="0" applyFont="1" applyBorder="1"/>
    <xf numFmtId="0" fontId="4" fillId="2" borderId="42" xfId="0" applyNumberFormat="1" applyFont="1" applyFill="1" applyBorder="1" applyAlignment="1">
      <alignment horizontal="center"/>
    </xf>
    <xf numFmtId="169" fontId="6" fillId="0" borderId="43" xfId="1" applyNumberFormat="1" applyFont="1" applyFill="1" applyBorder="1" applyAlignment="1">
      <alignment horizontal="right"/>
    </xf>
    <xf numFmtId="0" fontId="6" fillId="0" borderId="44" xfId="0" applyFont="1" applyBorder="1"/>
    <xf numFmtId="0" fontId="6" fillId="2" borderId="44" xfId="0" applyNumberFormat="1" applyFont="1" applyFill="1" applyBorder="1" applyAlignment="1"/>
    <xf numFmtId="0" fontId="6" fillId="0" borderId="46" xfId="0" applyNumberFormat="1" applyFont="1" applyFill="1" applyBorder="1" applyAlignment="1"/>
    <xf numFmtId="0" fontId="4" fillId="0" borderId="36" xfId="0" applyNumberFormat="1" applyFont="1" applyFill="1" applyBorder="1" applyAlignment="1">
      <alignment horizontal="center"/>
    </xf>
    <xf numFmtId="169" fontId="6" fillId="0" borderId="40" xfId="1" applyNumberFormat="1" applyFont="1" applyBorder="1" applyAlignment="1">
      <alignment horizontal="right"/>
    </xf>
    <xf numFmtId="0" fontId="6" fillId="2" borderId="41" xfId="0" applyNumberFormat="1" applyFont="1" applyFill="1" applyBorder="1" applyAlignment="1"/>
    <xf numFmtId="0" fontId="4" fillId="0" borderId="42" xfId="0" applyFont="1" applyBorder="1" applyAlignment="1">
      <alignment horizontal="center"/>
    </xf>
    <xf numFmtId="171" fontId="24" fillId="2" borderId="43" xfId="0" applyNumberFormat="1" applyFont="1" applyFill="1" applyBorder="1" applyAlignment="1">
      <alignment horizontal="right"/>
    </xf>
    <xf numFmtId="0" fontId="6" fillId="2" borderId="47" xfId="0" applyNumberFormat="1" applyFont="1" applyFill="1" applyBorder="1" applyAlignment="1"/>
    <xf numFmtId="0" fontId="4" fillId="2" borderId="48" xfId="0" applyNumberFormat="1" applyFont="1" applyFill="1" applyBorder="1" applyAlignment="1">
      <alignment horizontal="center"/>
    </xf>
    <xf numFmtId="0" fontId="6" fillId="0" borderId="41" xfId="0" applyFont="1" applyFill="1" applyBorder="1" applyAlignment="1">
      <alignment horizontal="left"/>
    </xf>
    <xf numFmtId="0" fontId="6" fillId="0" borderId="44" xfId="0" applyFont="1" applyFill="1" applyBorder="1"/>
    <xf numFmtId="0" fontId="24" fillId="0" borderId="32" xfId="0" applyFont="1" applyFill="1" applyBorder="1" applyAlignment="1">
      <alignment horizontal="right"/>
    </xf>
    <xf numFmtId="0" fontId="6" fillId="0" borderId="46" xfId="0" applyFont="1" applyFill="1" applyBorder="1" applyAlignment="1">
      <alignment horizontal="left"/>
    </xf>
    <xf numFmtId="0" fontId="4" fillId="2" borderId="36" xfId="0" applyNumberFormat="1" applyFont="1" applyFill="1" applyBorder="1" applyAlignment="1">
      <alignment horizontal="center"/>
    </xf>
    <xf numFmtId="164" fontId="24" fillId="0" borderId="40" xfId="0" applyNumberFormat="1" applyFont="1" applyFill="1" applyBorder="1" applyAlignment="1">
      <alignment horizontal="right"/>
    </xf>
    <xf numFmtId="0" fontId="6" fillId="0" borderId="41" xfId="0" applyFont="1" applyFill="1" applyBorder="1"/>
    <xf numFmtId="169" fontId="6" fillId="0" borderId="32" xfId="0" applyNumberFormat="1" applyFont="1" applyFill="1" applyBorder="1" applyAlignment="1">
      <alignment horizontal="right"/>
    </xf>
    <xf numFmtId="0" fontId="6" fillId="2" borderId="50" xfId="0" applyNumberFormat="1" applyFont="1" applyFill="1" applyBorder="1" applyAlignment="1"/>
    <xf numFmtId="169" fontId="24" fillId="2" borderId="45" xfId="0" applyNumberFormat="1" applyFont="1" applyFill="1" applyBorder="1" applyAlignment="1">
      <alignment horizontal="right"/>
    </xf>
    <xf numFmtId="164" fontId="24" fillId="2" borderId="45" xfId="2" applyNumberFormat="1" applyFont="1" applyFill="1" applyBorder="1" applyAlignment="1">
      <alignment horizontal="right"/>
    </xf>
    <xf numFmtId="0" fontId="6" fillId="0" borderId="46" xfId="0" applyFont="1" applyFill="1" applyBorder="1"/>
    <xf numFmtId="169" fontId="6" fillId="0" borderId="40" xfId="0" applyNumberFormat="1" applyFont="1" applyFill="1" applyBorder="1" applyAlignment="1">
      <alignment horizontal="right"/>
    </xf>
    <xf numFmtId="174" fontId="24" fillId="0" borderId="43" xfId="5" applyNumberFormat="1" applyFont="1" applyFill="1" applyBorder="1" applyAlignment="1">
      <alignment horizontal="right"/>
    </xf>
    <xf numFmtId="164" fontId="24" fillId="0" borderId="32" xfId="2" applyNumberFormat="1" applyFont="1" applyFill="1" applyBorder="1" applyAlignment="1">
      <alignment horizontal="right"/>
    </xf>
    <xf numFmtId="3" fontId="6" fillId="0" borderId="32" xfId="0" applyNumberFormat="1" applyFont="1" applyFill="1" applyBorder="1" applyAlignment="1">
      <alignment horizontal="right"/>
    </xf>
    <xf numFmtId="0" fontId="24" fillId="0" borderId="40" xfId="0" applyFont="1" applyFill="1" applyBorder="1" applyAlignment="1">
      <alignment horizontal="right"/>
    </xf>
    <xf numFmtId="0" fontId="24" fillId="0" borderId="43" xfId="0" applyFont="1" applyFill="1" applyBorder="1" applyAlignment="1">
      <alignment horizontal="right"/>
    </xf>
    <xf numFmtId="0" fontId="6" fillId="0" borderId="44" xfId="0" applyFont="1" applyFill="1" applyBorder="1" applyAlignment="1">
      <alignment horizontal="left"/>
    </xf>
    <xf numFmtId="164" fontId="24" fillId="2" borderId="32" xfId="2" applyNumberFormat="1" applyFont="1" applyFill="1" applyBorder="1" applyAlignment="1">
      <alignment horizontal="right"/>
    </xf>
    <xf numFmtId="9" fontId="24" fillId="2" borderId="43" xfId="2" applyNumberFormat="1" applyFont="1" applyFill="1" applyBorder="1" applyAlignment="1">
      <alignment horizontal="right"/>
    </xf>
    <xf numFmtId="10" fontId="24" fillId="2" borderId="49" xfId="2" applyNumberFormat="1" applyFont="1" applyFill="1" applyBorder="1" applyAlignment="1">
      <alignment horizontal="right"/>
    </xf>
    <xf numFmtId="0" fontId="6" fillId="0" borderId="44" xfId="0" applyNumberFormat="1" applyFont="1" applyFill="1" applyBorder="1" applyAlignment="1"/>
    <xf numFmtId="2" fontId="6" fillId="0" borderId="32" xfId="2" applyNumberFormat="1" applyFont="1" applyFill="1" applyBorder="1" applyAlignment="1">
      <alignment horizontal="right"/>
    </xf>
    <xf numFmtId="2" fontId="3" fillId="12" borderId="32" xfId="2" applyNumberFormat="1" applyFont="1" applyFill="1" applyBorder="1" applyAlignment="1">
      <alignment horizontal="right"/>
    </xf>
    <xf numFmtId="2" fontId="24" fillId="0" borderId="32" xfId="2" applyNumberFormat="1" applyFont="1" applyFill="1" applyBorder="1" applyAlignment="1">
      <alignment horizontal="right"/>
    </xf>
    <xf numFmtId="2" fontId="3" fillId="12" borderId="40" xfId="2" applyNumberFormat="1" applyFont="1" applyFill="1" applyBorder="1" applyAlignment="1">
      <alignment horizontal="right"/>
    </xf>
    <xf numFmtId="0" fontId="3" fillId="5" borderId="23" xfId="0" applyNumberFormat="1" applyFont="1" applyFill="1" applyBorder="1" applyAlignment="1"/>
    <xf numFmtId="0" fontId="21" fillId="5" borderId="10" xfId="0" applyNumberFormat="1" applyFont="1" applyFill="1" applyBorder="1" applyAlignment="1">
      <alignment horizontal="center"/>
    </xf>
    <xf numFmtId="166" fontId="21" fillId="5" borderId="24" xfId="0" applyNumberFormat="1" applyFont="1" applyFill="1" applyBorder="1" applyAlignment="1">
      <alignment horizontal="center"/>
    </xf>
    <xf numFmtId="0" fontId="6" fillId="0" borderId="50" xfId="0" applyNumberFormat="1" applyFont="1" applyFill="1" applyBorder="1" applyAlignment="1"/>
    <xf numFmtId="2" fontId="24" fillId="0" borderId="45" xfId="2" applyNumberFormat="1" applyFont="1" applyFill="1" applyBorder="1" applyAlignment="1">
      <alignment horizontal="right"/>
    </xf>
    <xf numFmtId="10" fontId="24" fillId="2" borderId="32" xfId="2" applyNumberFormat="1" applyFont="1" applyFill="1" applyBorder="1" applyAlignment="1">
      <alignment horizontal="right"/>
    </xf>
    <xf numFmtId="0" fontId="6" fillId="2" borderId="46" xfId="0" applyNumberFormat="1" applyFont="1" applyFill="1" applyBorder="1" applyAlignment="1"/>
    <xf numFmtId="164" fontId="24" fillId="2" borderId="40" xfId="2" applyNumberFormat="1" applyFont="1" applyFill="1" applyBorder="1" applyAlignment="1">
      <alignment horizontal="right"/>
    </xf>
    <xf numFmtId="9" fontId="6" fillId="2" borderId="43" xfId="2" applyNumberFormat="1" applyFont="1" applyFill="1" applyBorder="1" applyAlignment="1">
      <alignment horizontal="right"/>
    </xf>
    <xf numFmtId="0" fontId="6" fillId="0" borderId="47" xfId="0" applyFont="1" applyFill="1" applyBorder="1"/>
    <xf numFmtId="10" fontId="6" fillId="2" borderId="43" xfId="2" applyNumberFormat="1" applyFont="1" applyFill="1" applyBorder="1" applyAlignment="1">
      <alignment horizontal="right"/>
    </xf>
    <xf numFmtId="169" fontId="24" fillId="2" borderId="40" xfId="0" applyNumberFormat="1" applyFont="1" applyFill="1" applyBorder="1" applyAlignment="1">
      <alignment horizontal="right"/>
    </xf>
    <xf numFmtId="169" fontId="6" fillId="0" borderId="43" xfId="0" applyNumberFormat="1" applyFont="1" applyFill="1" applyBorder="1" applyAlignment="1">
      <alignment horizontal="right"/>
    </xf>
    <xf numFmtId="0" fontId="6" fillId="2" borderId="51" xfId="0" applyNumberFormat="1" applyFont="1" applyFill="1" applyBorder="1" applyAlignment="1"/>
    <xf numFmtId="0" fontId="3" fillId="0" borderId="47" xfId="0" applyFont="1" applyFill="1" applyBorder="1"/>
    <xf numFmtId="169" fontId="3" fillId="0" borderId="49" xfId="0" applyNumberFormat="1" applyFont="1" applyFill="1" applyBorder="1"/>
    <xf numFmtId="9" fontId="24" fillId="6" borderId="43" xfId="2" applyFont="1" applyFill="1" applyBorder="1" applyAlignment="1">
      <alignment horizontal="center"/>
    </xf>
    <xf numFmtId="164" fontId="24" fillId="0" borderId="45" xfId="2" applyNumberFormat="1" applyFont="1" applyFill="1" applyBorder="1" applyAlignment="1">
      <alignment horizontal="right"/>
    </xf>
    <xf numFmtId="0" fontId="6" fillId="0" borderId="36" xfId="0" applyFont="1" applyFill="1" applyBorder="1"/>
    <xf numFmtId="0" fontId="4" fillId="0" borderId="40" xfId="0" applyFont="1" applyFill="1" applyBorder="1" applyAlignment="1">
      <alignment horizontal="center"/>
    </xf>
    <xf numFmtId="164" fontId="24" fillId="0" borderId="40" xfId="2" applyNumberFormat="1" applyFont="1" applyFill="1" applyBorder="1" applyAlignment="1">
      <alignment horizontal="right"/>
    </xf>
    <xf numFmtId="0" fontId="68" fillId="5" borderId="41" xfId="0" applyFont="1" applyFill="1" applyBorder="1"/>
    <xf numFmtId="0" fontId="68" fillId="5" borderId="42" xfId="0" applyFont="1" applyFill="1" applyBorder="1"/>
    <xf numFmtId="2" fontId="16" fillId="5" borderId="43" xfId="0" applyNumberFormat="1" applyFont="1" applyFill="1" applyBorder="1" applyAlignment="1">
      <alignment horizontal="center"/>
    </xf>
    <xf numFmtId="0" fontId="68" fillId="5" borderId="44" xfId="0" applyFont="1" applyFill="1" applyBorder="1"/>
    <xf numFmtId="2" fontId="16" fillId="5" borderId="45" xfId="0" applyNumberFormat="1" applyFont="1" applyFill="1" applyBorder="1" applyAlignment="1">
      <alignment horizontal="right"/>
    </xf>
    <xf numFmtId="0" fontId="68" fillId="5" borderId="54" xfId="0" applyFont="1" applyFill="1" applyBorder="1"/>
    <xf numFmtId="164" fontId="16" fillId="5" borderId="55" xfId="2" applyNumberFormat="1" applyFont="1" applyFill="1" applyBorder="1" applyAlignment="1">
      <alignment horizontal="right"/>
    </xf>
    <xf numFmtId="0" fontId="74" fillId="5" borderId="56" xfId="3" applyFont="1" applyFill="1" applyBorder="1" applyAlignment="1" applyProtection="1"/>
    <xf numFmtId="0" fontId="6" fillId="5" borderId="38" xfId="0" applyFont="1" applyFill="1" applyBorder="1"/>
    <xf numFmtId="0" fontId="6" fillId="5" borderId="57" xfId="0" applyFont="1" applyFill="1" applyBorder="1"/>
    <xf numFmtId="0" fontId="24" fillId="6" borderId="43" xfId="0" applyFont="1" applyFill="1" applyBorder="1" applyAlignment="1">
      <alignment horizontal="center"/>
    </xf>
    <xf numFmtId="9" fontId="24" fillId="0" borderId="45" xfId="2" applyFont="1" applyFill="1" applyBorder="1" applyAlignment="1">
      <alignment horizontal="right"/>
    </xf>
    <xf numFmtId="0" fontId="24" fillId="6" borderId="32" xfId="0" applyFont="1" applyFill="1" applyBorder="1" applyAlignment="1">
      <alignment horizontal="center"/>
    </xf>
    <xf numFmtId="2" fontId="24" fillId="2" borderId="32" xfId="0" applyNumberFormat="1" applyFont="1" applyFill="1" applyBorder="1" applyAlignment="1">
      <alignment horizontal="right"/>
    </xf>
    <xf numFmtId="0" fontId="6" fillId="0" borderId="56" xfId="0" applyFont="1" applyFill="1" applyBorder="1"/>
    <xf numFmtId="0" fontId="3" fillId="0" borderId="41" xfId="0" applyFont="1" applyFill="1" applyBorder="1"/>
    <xf numFmtId="0" fontId="4" fillId="0" borderId="42" xfId="0" applyFont="1" applyFill="1" applyBorder="1" applyAlignment="1">
      <alignment horizontal="center"/>
    </xf>
    <xf numFmtId="6" fontId="24" fillId="0" borderId="43" xfId="0" applyNumberFormat="1" applyFont="1" applyFill="1" applyBorder="1" applyAlignment="1">
      <alignment horizontal="right"/>
    </xf>
    <xf numFmtId="9" fontId="24" fillId="6" borderId="49" xfId="2" applyFont="1" applyFill="1" applyBorder="1" applyAlignment="1">
      <alignment horizontal="center"/>
    </xf>
    <xf numFmtId="0" fontId="6" fillId="0" borderId="50" xfId="0" applyFont="1" applyFill="1" applyBorder="1"/>
    <xf numFmtId="169" fontId="6" fillId="0" borderId="49" xfId="2" applyNumberFormat="1" applyFont="1" applyFill="1" applyBorder="1" applyAlignment="1">
      <alignment horizontal="right"/>
    </xf>
    <xf numFmtId="0" fontId="6" fillId="0" borderId="42" xfId="0" applyFont="1" applyFill="1" applyBorder="1"/>
    <xf numFmtId="9" fontId="24" fillId="0" borderId="43" xfId="2" applyFont="1" applyFill="1" applyBorder="1" applyAlignment="1">
      <alignment horizontal="right"/>
    </xf>
    <xf numFmtId="0" fontId="4" fillId="0" borderId="36" xfId="0" applyFont="1" applyFill="1" applyBorder="1" applyAlignment="1">
      <alignment horizontal="center"/>
    </xf>
    <xf numFmtId="0" fontId="6" fillId="0" borderId="61" xfId="0" applyFont="1" applyFill="1" applyBorder="1"/>
    <xf numFmtId="0" fontId="6" fillId="0" borderId="62" xfId="0" applyFont="1" applyFill="1" applyBorder="1"/>
    <xf numFmtId="0" fontId="6" fillId="0" borderId="50" xfId="0" applyFont="1" applyFill="1" applyBorder="1" applyAlignment="1">
      <alignment horizontal="left"/>
    </xf>
    <xf numFmtId="1" fontId="24" fillId="0" borderId="45" xfId="0" applyNumberFormat="1" applyFont="1" applyFill="1" applyBorder="1" applyAlignment="1">
      <alignment horizontal="right"/>
    </xf>
    <xf numFmtId="169" fontId="24" fillId="2" borderId="49" xfId="0" applyNumberFormat="1" applyFont="1" applyFill="1" applyBorder="1" applyAlignment="1">
      <alignment horizontal="right"/>
    </xf>
    <xf numFmtId="0" fontId="21" fillId="0" borderId="58" xfId="0" applyFont="1" applyFill="1" applyBorder="1" applyAlignment="1">
      <alignment horizontal="left"/>
    </xf>
    <xf numFmtId="0" fontId="3" fillId="0" borderId="61" xfId="0" applyFont="1" applyFill="1" applyBorder="1" applyAlignment="1">
      <alignment horizontal="center"/>
    </xf>
    <xf numFmtId="0" fontId="3" fillId="0" borderId="62" xfId="0" applyFont="1" applyFill="1" applyBorder="1" applyAlignment="1">
      <alignment horizontal="center"/>
    </xf>
    <xf numFmtId="0" fontId="6" fillId="0" borderId="53" xfId="0" applyFont="1" applyFill="1" applyBorder="1" applyAlignment="1">
      <alignment horizontal="left"/>
    </xf>
    <xf numFmtId="0" fontId="21" fillId="0" borderId="58" xfId="0" applyFont="1" applyFill="1" applyBorder="1"/>
    <xf numFmtId="6" fontId="6" fillId="0" borderId="40" xfId="0" applyNumberFormat="1" applyFont="1" applyFill="1" applyBorder="1" applyAlignment="1">
      <alignment horizontal="right"/>
    </xf>
    <xf numFmtId="0" fontId="6" fillId="0" borderId="62" xfId="0" applyFont="1" applyFill="1" applyBorder="1" applyAlignment="1">
      <alignment horizontal="right"/>
    </xf>
    <xf numFmtId="164" fontId="24" fillId="0" borderId="31" xfId="0" applyNumberFormat="1" applyFont="1" applyFill="1" applyBorder="1" applyAlignment="1">
      <alignment horizontal="right"/>
    </xf>
    <xf numFmtId="0" fontId="21" fillId="0" borderId="1" xfId="0" applyFont="1" applyFill="1" applyBorder="1"/>
    <xf numFmtId="9" fontId="24" fillId="0" borderId="40" xfId="0" applyNumberFormat="1" applyFont="1" applyFill="1" applyBorder="1" applyAlignment="1">
      <alignment horizontal="right"/>
    </xf>
    <xf numFmtId="0" fontId="3" fillId="0" borderId="30" xfId="0" applyFont="1" applyFill="1" applyBorder="1" applyAlignment="1">
      <alignment horizontal="left"/>
    </xf>
    <xf numFmtId="0" fontId="22" fillId="0" borderId="29" xfId="0" applyFont="1" applyFill="1" applyBorder="1" applyAlignment="1">
      <alignment horizontal="center"/>
    </xf>
    <xf numFmtId="0" fontId="22" fillId="0" borderId="31" xfId="0" applyFont="1" applyFill="1" applyBorder="1" applyAlignment="1">
      <alignment horizontal="center"/>
    </xf>
    <xf numFmtId="0" fontId="6" fillId="0" borderId="30" xfId="0" applyFont="1" applyFill="1" applyBorder="1" applyAlignment="1">
      <alignment horizontal="left" indent="1"/>
    </xf>
    <xf numFmtId="164" fontId="24" fillId="0" borderId="29" xfId="2" applyNumberFormat="1" applyFont="1" applyFill="1" applyBorder="1" applyAlignment="1">
      <alignment horizontal="center"/>
    </xf>
    <xf numFmtId="164" fontId="24" fillId="0" borderId="31" xfId="2" applyNumberFormat="1" applyFont="1" applyFill="1" applyBorder="1" applyAlignment="1">
      <alignment horizontal="center"/>
    </xf>
    <xf numFmtId="0" fontId="6" fillId="0" borderId="41" xfId="0" applyFont="1" applyFill="1" applyBorder="1" applyAlignment="1">
      <alignment horizontal="left" indent="1"/>
    </xf>
    <xf numFmtId="164" fontId="24" fillId="0" borderId="42" xfId="2" applyNumberFormat="1" applyFont="1" applyFill="1" applyBorder="1" applyAlignment="1">
      <alignment horizontal="center"/>
    </xf>
    <xf numFmtId="164" fontId="24" fillId="0" borderId="43" xfId="2" applyNumberFormat="1" applyFont="1" applyFill="1" applyBorder="1" applyAlignment="1">
      <alignment horizontal="center"/>
    </xf>
    <xf numFmtId="0" fontId="6" fillId="0" borderId="44" xfId="0" applyFont="1" applyFill="1" applyBorder="1" applyAlignment="1">
      <alignment horizontal="left" indent="1"/>
    </xf>
    <xf numFmtId="164" fontId="24" fillId="0" borderId="32" xfId="2" applyNumberFormat="1" applyFont="1" applyFill="1" applyBorder="1" applyAlignment="1">
      <alignment horizontal="center"/>
    </xf>
    <xf numFmtId="0" fontId="6" fillId="0" borderId="46" xfId="0" applyFont="1" applyFill="1" applyBorder="1" applyAlignment="1">
      <alignment horizontal="left" indent="1"/>
    </xf>
    <xf numFmtId="164" fontId="24" fillId="0" borderId="36" xfId="2" applyNumberFormat="1" applyFont="1" applyFill="1" applyBorder="1" applyAlignment="1">
      <alignment horizontal="center"/>
    </xf>
    <xf numFmtId="164" fontId="24" fillId="0" borderId="40" xfId="2" applyNumberFormat="1" applyFont="1" applyFill="1" applyBorder="1" applyAlignment="1">
      <alignment horizontal="center"/>
    </xf>
    <xf numFmtId="0" fontId="75" fillId="0" borderId="30" xfId="3" applyFont="1" applyFill="1" applyBorder="1" applyAlignment="1" applyProtection="1"/>
    <xf numFmtId="0" fontId="3" fillId="0" borderId="29" xfId="0" applyFont="1" applyFill="1" applyBorder="1"/>
    <xf numFmtId="0" fontId="3" fillId="0" borderId="63" xfId="0" applyFont="1" applyFill="1" applyBorder="1"/>
    <xf numFmtId="0" fontId="3" fillId="0" borderId="31" xfId="0" applyFont="1" applyFill="1" applyBorder="1"/>
    <xf numFmtId="0" fontId="6" fillId="0" borderId="29" xfId="0" applyFont="1" applyBorder="1"/>
    <xf numFmtId="9" fontId="24" fillId="6" borderId="31" xfId="2" applyFont="1" applyFill="1" applyBorder="1" applyAlignment="1">
      <alignment horizontal="center"/>
    </xf>
    <xf numFmtId="164" fontId="24" fillId="0" borderId="43" xfId="2" applyNumberFormat="1" applyFont="1" applyFill="1" applyBorder="1" applyAlignment="1">
      <alignment horizontal="right"/>
    </xf>
    <xf numFmtId="0" fontId="6" fillId="0" borderId="39" xfId="0" applyFont="1" applyFill="1" applyBorder="1"/>
    <xf numFmtId="0" fontId="6" fillId="0" borderId="65" xfId="0" applyFont="1" applyFill="1" applyBorder="1"/>
    <xf numFmtId="0" fontId="4" fillId="2" borderId="21" xfId="0" applyNumberFormat="1" applyFont="1" applyFill="1" applyBorder="1" applyAlignment="1">
      <alignment horizontal="center"/>
    </xf>
    <xf numFmtId="10" fontId="4" fillId="0" borderId="66" xfId="2" applyNumberFormat="1" applyFont="1" applyFill="1" applyBorder="1" applyAlignment="1">
      <alignment horizontal="right"/>
    </xf>
    <xf numFmtId="0" fontId="6" fillId="0" borderId="67" xfId="0" applyFont="1" applyBorder="1"/>
    <xf numFmtId="0" fontId="4" fillId="2" borderId="68" xfId="0" applyNumberFormat="1" applyFont="1" applyFill="1" applyBorder="1" applyAlignment="1">
      <alignment horizontal="center"/>
    </xf>
    <xf numFmtId="2" fontId="24" fillId="6" borderId="69" xfId="0" applyNumberFormat="1" applyFont="1" applyFill="1" applyBorder="1" applyAlignment="1">
      <alignment horizontal="center"/>
    </xf>
    <xf numFmtId="1" fontId="24" fillId="0" borderId="43" xfId="0" applyNumberFormat="1" applyFont="1" applyFill="1" applyBorder="1" applyAlignment="1">
      <alignment horizontal="right"/>
    </xf>
    <xf numFmtId="0" fontId="4" fillId="8" borderId="0" xfId="0" applyNumberFormat="1" applyFont="1" applyFill="1" applyAlignment="1">
      <alignment horizontal="right" indent="1"/>
    </xf>
    <xf numFmtId="0" fontId="9" fillId="8" borderId="0" xfId="0" applyNumberFormat="1" applyFont="1" applyFill="1" applyAlignment="1">
      <alignment horizontal="center"/>
    </xf>
    <xf numFmtId="0" fontId="84" fillId="8" borderId="25" xfId="0" applyFont="1" applyFill="1" applyBorder="1" applyAlignment="1">
      <alignment horizontal="center" vertical="center"/>
    </xf>
    <xf numFmtId="0" fontId="6" fillId="14" borderId="0" xfId="0" applyFont="1" applyFill="1" applyBorder="1"/>
    <xf numFmtId="0" fontId="71" fillId="14" borderId="0" xfId="0" applyFont="1" applyFill="1" applyBorder="1" applyAlignment="1"/>
    <xf numFmtId="0" fontId="3" fillId="14" borderId="0" xfId="0" applyFont="1" applyFill="1" applyBorder="1" applyAlignment="1">
      <alignment horizontal="center"/>
    </xf>
    <xf numFmtId="0" fontId="29" fillId="8" borderId="8" xfId="0" applyFont="1" applyFill="1" applyBorder="1" applyAlignment="1">
      <alignment horizontal="left" vertical="center" wrapText="1"/>
    </xf>
    <xf numFmtId="0" fontId="88" fillId="8" borderId="0" xfId="3" applyFont="1" applyFill="1" applyBorder="1" applyAlignment="1" applyProtection="1"/>
    <xf numFmtId="0" fontId="60" fillId="14" borderId="0" xfId="0" applyFont="1" applyFill="1" applyBorder="1"/>
    <xf numFmtId="0" fontId="87" fillId="14" borderId="0" xfId="0" applyFont="1" applyFill="1" applyBorder="1"/>
    <xf numFmtId="0" fontId="53" fillId="14" borderId="0" xfId="0" applyFont="1" applyFill="1" applyBorder="1"/>
    <xf numFmtId="0" fontId="17" fillId="14" borderId="0" xfId="3" applyFill="1" applyBorder="1" applyAlignment="1" applyProtection="1"/>
    <xf numFmtId="0" fontId="6" fillId="14" borderId="0" xfId="0" applyNumberFormat="1" applyFont="1" applyFill="1" applyBorder="1" applyAlignment="1"/>
    <xf numFmtId="0" fontId="3" fillId="0" borderId="23" xfId="0" applyFont="1" applyFill="1" applyBorder="1"/>
    <xf numFmtId="0" fontId="6" fillId="0" borderId="70" xfId="0" applyFont="1" applyFill="1" applyBorder="1"/>
    <xf numFmtId="0" fontId="24" fillId="6" borderId="69" xfId="0" applyFont="1" applyFill="1" applyBorder="1" applyAlignment="1">
      <alignment horizontal="center"/>
    </xf>
    <xf numFmtId="0" fontId="24" fillId="6" borderId="45" xfId="0" applyFont="1" applyFill="1" applyBorder="1" applyAlignment="1">
      <alignment horizontal="center"/>
    </xf>
    <xf numFmtId="6" fontId="6" fillId="0" borderId="40" xfId="0" applyNumberFormat="1" applyFont="1" applyFill="1" applyBorder="1"/>
    <xf numFmtId="9" fontId="4" fillId="2" borderId="4" xfId="2" applyFont="1" applyFill="1" applyBorder="1" applyAlignment="1">
      <alignment horizontal="center"/>
    </xf>
    <xf numFmtId="9" fontId="4" fillId="2" borderId="68" xfId="2" applyFont="1" applyFill="1" applyBorder="1" applyAlignment="1">
      <alignment horizontal="center"/>
    </xf>
    <xf numFmtId="0" fontId="88" fillId="8" borderId="0" xfId="3" applyFont="1" applyFill="1" applyBorder="1" applyAlignment="1" applyProtection="1">
      <alignment vertical="center" wrapText="1"/>
    </xf>
    <xf numFmtId="0" fontId="89" fillId="8" borderId="0" xfId="0" applyFont="1" applyFill="1" applyBorder="1" applyAlignment="1">
      <alignment wrapText="1"/>
    </xf>
    <xf numFmtId="0" fontId="29" fillId="8" borderId="23" xfId="0" applyFont="1" applyFill="1" applyBorder="1" applyAlignment="1">
      <alignment vertical="center" wrapText="1"/>
    </xf>
    <xf numFmtId="0" fontId="45" fillId="8" borderId="10" xfId="0" applyFont="1" applyFill="1" applyBorder="1" applyAlignment="1">
      <alignment vertical="center" wrapText="1"/>
    </xf>
    <xf numFmtId="9" fontId="4" fillId="2" borderId="28" xfId="2" applyFont="1" applyFill="1" applyBorder="1" applyAlignment="1">
      <alignment horizontal="center"/>
    </xf>
    <xf numFmtId="6" fontId="6" fillId="0" borderId="52" xfId="0" applyNumberFormat="1" applyFont="1" applyFill="1" applyBorder="1" applyAlignment="1">
      <alignment horizontal="right"/>
    </xf>
    <xf numFmtId="0" fontId="6" fillId="0" borderId="46" xfId="0" applyFont="1" applyBorder="1"/>
    <xf numFmtId="0" fontId="49" fillId="0" borderId="0" xfId="0" applyFont="1" applyBorder="1" applyAlignment="1">
      <alignment horizontal="center"/>
    </xf>
    <xf numFmtId="40" fontId="4" fillId="0" borderId="0" xfId="0" applyNumberFormat="1" applyFont="1" applyAlignment="1">
      <alignment horizontal="center"/>
    </xf>
    <xf numFmtId="0" fontId="90" fillId="0" borderId="17" xfId="0" applyFont="1" applyBorder="1"/>
    <xf numFmtId="0" fontId="51" fillId="0" borderId="9" xfId="0" applyFont="1" applyBorder="1"/>
    <xf numFmtId="0" fontId="55" fillId="0" borderId="0" xfId="0" applyFont="1" applyBorder="1" applyAlignment="1">
      <alignment horizontal="right"/>
    </xf>
    <xf numFmtId="9" fontId="49" fillId="0" borderId="21" xfId="2" applyNumberFormat="1" applyFont="1" applyBorder="1" applyAlignment="1">
      <alignment horizontal="center"/>
    </xf>
    <xf numFmtId="40" fontId="49" fillId="0" borderId="21" xfId="0" applyNumberFormat="1" applyFont="1" applyBorder="1" applyAlignment="1">
      <alignment horizontal="center"/>
    </xf>
    <xf numFmtId="0" fontId="55" fillId="0" borderId="0" xfId="0" applyFont="1" applyFill="1" applyBorder="1" applyAlignment="1">
      <alignment horizontal="center"/>
    </xf>
    <xf numFmtId="0" fontId="44" fillId="0" borderId="17" xfId="0" applyFont="1" applyFill="1" applyBorder="1"/>
    <xf numFmtId="0" fontId="51" fillId="0" borderId="6" xfId="0" applyFont="1" applyFill="1" applyBorder="1" applyAlignment="1">
      <alignment horizontal="center"/>
    </xf>
    <xf numFmtId="0" fontId="3" fillId="0" borderId="67" xfId="0" applyFont="1" applyFill="1" applyBorder="1"/>
    <xf numFmtId="6" fontId="24" fillId="0" borderId="32" xfId="0" applyNumberFormat="1" applyFont="1" applyFill="1" applyBorder="1" applyAlignment="1">
      <alignment horizontal="right"/>
    </xf>
    <xf numFmtId="169" fontId="24" fillId="0" borderId="32" xfId="0" applyNumberFormat="1" applyFont="1" applyFill="1" applyBorder="1" applyAlignment="1">
      <alignment horizontal="right"/>
    </xf>
    <xf numFmtId="6" fontId="24" fillId="0" borderId="69" xfId="0" applyNumberFormat="1" applyFont="1" applyFill="1" applyBorder="1" applyAlignment="1">
      <alignment horizontal="right"/>
    </xf>
    <xf numFmtId="9" fontId="24" fillId="6" borderId="32" xfId="2" applyFont="1" applyFill="1" applyBorder="1" applyAlignment="1">
      <alignment horizontal="center"/>
    </xf>
    <xf numFmtId="0" fontId="93" fillId="0" borderId="0" xfId="0" applyFont="1" applyBorder="1" applyAlignment="1">
      <alignment horizontal="center" vertical="center"/>
    </xf>
    <xf numFmtId="2" fontId="50" fillId="0" borderId="17" xfId="0" applyNumberFormat="1" applyFont="1" applyFill="1" applyBorder="1" applyAlignment="1">
      <alignment horizontal="center" vertical="center"/>
    </xf>
    <xf numFmtId="0" fontId="50" fillId="0" borderId="17" xfId="0" applyFont="1" applyBorder="1" applyAlignment="1">
      <alignment horizontal="center" vertical="center"/>
    </xf>
    <xf numFmtId="0" fontId="94" fillId="0" borderId="17" xfId="0" applyFont="1" applyFill="1" applyBorder="1" applyAlignment="1">
      <alignment horizontal="center" vertical="center"/>
    </xf>
    <xf numFmtId="0" fontId="94" fillId="0" borderId="0" xfId="0" applyFont="1" applyAlignment="1">
      <alignment horizontal="center" vertical="center"/>
    </xf>
    <xf numFmtId="0" fontId="50" fillId="0" borderId="12" xfId="0" applyFont="1" applyBorder="1" applyAlignment="1">
      <alignment horizontal="center" vertical="center"/>
    </xf>
    <xf numFmtId="0" fontId="93" fillId="0" borderId="14" xfId="0" applyFont="1" applyBorder="1" applyAlignment="1">
      <alignment horizontal="center" vertical="center"/>
    </xf>
    <xf numFmtId="2" fontId="50" fillId="0" borderId="4" xfId="0" applyNumberFormat="1" applyFont="1" applyFill="1" applyBorder="1" applyAlignment="1">
      <alignment horizontal="center" vertical="center"/>
    </xf>
    <xf numFmtId="0" fontId="94" fillId="0" borderId="0" xfId="0" applyFont="1" applyFill="1" applyBorder="1" applyAlignment="1">
      <alignment horizontal="center" vertical="center"/>
    </xf>
    <xf numFmtId="164" fontId="24" fillId="0" borderId="12" xfId="2" applyNumberFormat="1" applyFont="1" applyFill="1" applyBorder="1" applyAlignment="1">
      <alignment horizontal="center"/>
    </xf>
    <xf numFmtId="164" fontId="24" fillId="0" borderId="37" xfId="2" applyNumberFormat="1" applyFont="1" applyFill="1" applyBorder="1" applyAlignment="1">
      <alignment horizontal="center"/>
    </xf>
    <xf numFmtId="0" fontId="22" fillId="0" borderId="63" xfId="0" applyFont="1" applyFill="1" applyBorder="1" applyAlignment="1">
      <alignment horizontal="center"/>
    </xf>
    <xf numFmtId="164" fontId="24" fillId="0" borderId="63" xfId="2" applyNumberFormat="1" applyFont="1" applyFill="1" applyBorder="1" applyAlignment="1">
      <alignment horizontal="center"/>
    </xf>
    <xf numFmtId="164" fontId="24" fillId="0" borderId="64" xfId="2" applyNumberFormat="1" applyFont="1" applyFill="1" applyBorder="1" applyAlignment="1">
      <alignment horizontal="center"/>
    </xf>
    <xf numFmtId="164" fontId="82" fillId="0" borderId="6" xfId="2" applyNumberFormat="1" applyFont="1" applyFill="1" applyBorder="1" applyAlignment="1">
      <alignment horizontal="center" vertical="center" wrapText="1"/>
    </xf>
    <xf numFmtId="0" fontId="86" fillId="5" borderId="8" xfId="0" applyFont="1" applyFill="1" applyBorder="1" applyAlignment="1">
      <alignment vertical="center"/>
    </xf>
    <xf numFmtId="0" fontId="86" fillId="5" borderId="0" xfId="0" applyNumberFormat="1" applyFont="1" applyFill="1" applyBorder="1" applyAlignment="1">
      <alignment vertical="center" wrapText="1"/>
    </xf>
    <xf numFmtId="0" fontId="6" fillId="0" borderId="11" xfId="0" applyFont="1" applyFill="1" applyBorder="1"/>
    <xf numFmtId="0" fontId="6" fillId="0" borderId="9" xfId="0" applyFont="1" applyFill="1" applyBorder="1"/>
    <xf numFmtId="0" fontId="65" fillId="0" borderId="0" xfId="0" applyFont="1" applyFill="1" applyBorder="1" applyAlignment="1">
      <alignment horizontal="center"/>
    </xf>
    <xf numFmtId="0" fontId="8" fillId="5" borderId="2" xfId="0" applyFont="1" applyFill="1" applyBorder="1" applyAlignment="1">
      <alignment horizontal="center" vertical="center"/>
    </xf>
    <xf numFmtId="0" fontId="8" fillId="5" borderId="10" xfId="0" applyFont="1" applyFill="1" applyBorder="1" applyAlignment="1">
      <alignment horizontal="center" vertical="center"/>
    </xf>
    <xf numFmtId="164" fontId="24" fillId="0" borderId="12" xfId="2" applyNumberFormat="1" applyFont="1" applyFill="1" applyBorder="1" applyAlignment="1">
      <alignment horizontal="center"/>
    </xf>
    <xf numFmtId="164" fontId="24" fillId="0" borderId="13" xfId="2" applyNumberFormat="1" applyFont="1" applyFill="1" applyBorder="1" applyAlignment="1">
      <alignment horizontal="center"/>
    </xf>
    <xf numFmtId="164" fontId="24" fillId="0" borderId="14" xfId="2" applyNumberFormat="1" applyFont="1" applyFill="1" applyBorder="1" applyAlignment="1">
      <alignment horizontal="center"/>
    </xf>
    <xf numFmtId="164" fontId="24" fillId="0" borderId="37" xfId="2" applyNumberFormat="1" applyFont="1" applyFill="1" applyBorder="1" applyAlignment="1">
      <alignment horizontal="center"/>
    </xf>
    <xf numFmtId="164" fontId="24" fillId="0" borderId="38" xfId="2" applyNumberFormat="1" applyFont="1" applyFill="1" applyBorder="1" applyAlignment="1">
      <alignment horizontal="center"/>
    </xf>
    <xf numFmtId="164" fontId="24" fillId="0" borderId="39" xfId="2" applyNumberFormat="1" applyFont="1" applyFill="1" applyBorder="1" applyAlignment="1">
      <alignment horizontal="center"/>
    </xf>
    <xf numFmtId="0" fontId="3" fillId="0" borderId="63" xfId="0" applyFont="1" applyFill="1" applyBorder="1" applyAlignment="1">
      <alignment horizontal="center"/>
    </xf>
    <xf numFmtId="0" fontId="3" fillId="0" borderId="2" xfId="0" applyFont="1" applyFill="1" applyBorder="1" applyAlignment="1">
      <alignment horizontal="center"/>
    </xf>
    <xf numFmtId="0" fontId="3" fillId="0" borderId="60" xfId="0" applyFont="1" applyFill="1" applyBorder="1" applyAlignment="1">
      <alignment horizontal="center"/>
    </xf>
    <xf numFmtId="0" fontId="22" fillId="0" borderId="63" xfId="0" applyFont="1" applyFill="1" applyBorder="1" applyAlignment="1">
      <alignment horizontal="center"/>
    </xf>
    <xf numFmtId="0" fontId="22" fillId="0" borderId="2" xfId="0" applyFont="1" applyFill="1" applyBorder="1" applyAlignment="1">
      <alignment horizontal="center"/>
    </xf>
    <xf numFmtId="0" fontId="22" fillId="0" borderId="60" xfId="0" applyFont="1" applyFill="1" applyBorder="1" applyAlignment="1">
      <alignment horizontal="center"/>
    </xf>
    <xf numFmtId="164" fontId="24" fillId="0" borderId="63" xfId="2" applyNumberFormat="1" applyFont="1" applyFill="1" applyBorder="1" applyAlignment="1">
      <alignment horizontal="center"/>
    </xf>
    <xf numFmtId="164" fontId="24" fillId="0" borderId="2" xfId="2" applyNumberFormat="1" applyFont="1" applyFill="1" applyBorder="1" applyAlignment="1">
      <alignment horizontal="center"/>
    </xf>
    <xf numFmtId="164" fontId="24" fillId="0" borderId="60" xfId="2" applyNumberFormat="1" applyFont="1" applyFill="1" applyBorder="1" applyAlignment="1">
      <alignment horizontal="center"/>
    </xf>
    <xf numFmtId="164" fontId="24" fillId="0" borderId="64" xfId="2" applyNumberFormat="1" applyFont="1" applyFill="1" applyBorder="1" applyAlignment="1">
      <alignment horizontal="center"/>
    </xf>
    <xf numFmtId="164" fontId="24" fillId="0" borderId="61" xfId="2" applyNumberFormat="1" applyFont="1" applyFill="1" applyBorder="1" applyAlignment="1">
      <alignment horizontal="center"/>
    </xf>
    <xf numFmtId="164" fontId="24" fillId="0" borderId="59" xfId="2" applyNumberFormat="1" applyFont="1" applyFill="1" applyBorder="1" applyAlignment="1">
      <alignment horizontal="center"/>
    </xf>
    <xf numFmtId="0" fontId="54" fillId="0" borderId="12" xfId="0" applyFont="1" applyBorder="1" applyAlignment="1">
      <alignment horizontal="center" vertical="center" wrapText="1"/>
    </xf>
    <xf numFmtId="0" fontId="54" fillId="0" borderId="13" xfId="0" applyFont="1" applyBorder="1" applyAlignment="1">
      <alignment horizontal="center" vertical="center" wrapText="1"/>
    </xf>
    <xf numFmtId="0" fontId="54" fillId="0" borderId="14" xfId="0" applyFont="1" applyBorder="1" applyAlignment="1">
      <alignment horizontal="center" vertical="center" wrapText="1"/>
    </xf>
    <xf numFmtId="0" fontId="49" fillId="0" borderId="0" xfId="0" applyFont="1" applyBorder="1" applyAlignment="1">
      <alignment horizontal="center" vertical="center"/>
    </xf>
    <xf numFmtId="0" fontId="49" fillId="0" borderId="0" xfId="0" applyFont="1" applyBorder="1" applyAlignment="1">
      <alignment horizontal="center"/>
    </xf>
    <xf numFmtId="0" fontId="56" fillId="6" borderId="1" xfId="0" applyFont="1" applyFill="1" applyBorder="1" applyAlignment="1">
      <alignment horizontal="center" vertical="center" wrapText="1"/>
    </xf>
    <xf numFmtId="0" fontId="56" fillId="6" borderId="2" xfId="0" applyFont="1" applyFill="1" applyBorder="1" applyAlignment="1">
      <alignment horizontal="center" vertical="center" wrapText="1"/>
    </xf>
    <xf numFmtId="0" fontId="56" fillId="6" borderId="3" xfId="0" applyFont="1" applyFill="1" applyBorder="1" applyAlignment="1">
      <alignment horizontal="center" vertical="center" wrapText="1"/>
    </xf>
    <xf numFmtId="0" fontId="66" fillId="0" borderId="19" xfId="0" applyFont="1" applyBorder="1" applyAlignment="1">
      <alignment horizontal="center" vertical="center" wrapText="1"/>
    </xf>
    <xf numFmtId="0" fontId="66" fillId="0" borderId="15" xfId="0" applyFont="1" applyBorder="1" applyAlignment="1">
      <alignment horizontal="center" vertical="center" wrapText="1"/>
    </xf>
    <xf numFmtId="0" fontId="66" fillId="0" borderId="20" xfId="0" applyFont="1" applyBorder="1" applyAlignment="1">
      <alignment horizontal="center" vertical="center" wrapText="1"/>
    </xf>
    <xf numFmtId="0" fontId="66" fillId="0" borderId="16" xfId="0" applyFont="1" applyBorder="1" applyAlignment="1">
      <alignment horizontal="center" vertical="center" wrapText="1"/>
    </xf>
    <xf numFmtId="0" fontId="66" fillId="0" borderId="12" xfId="0" applyFont="1" applyBorder="1" applyAlignment="1">
      <alignment horizontal="center"/>
    </xf>
    <xf numFmtId="0" fontId="66" fillId="0" borderId="14" xfId="0" applyFont="1" applyBorder="1" applyAlignment="1">
      <alignment horizontal="center"/>
    </xf>
    <xf numFmtId="0" fontId="3" fillId="8" borderId="0" xfId="0" applyNumberFormat="1" applyFont="1" applyFill="1" applyAlignment="1">
      <alignment horizontal="center"/>
    </xf>
    <xf numFmtId="0" fontId="3" fillId="11" borderId="1" xfId="0" applyNumberFormat="1" applyFont="1" applyFill="1" applyBorder="1" applyAlignment="1">
      <alignment horizontal="left" vertical="center" wrapText="1"/>
    </xf>
    <xf numFmtId="0" fontId="3" fillId="11" borderId="3" xfId="0" applyNumberFormat="1" applyFont="1" applyFill="1" applyBorder="1" applyAlignment="1">
      <alignment horizontal="left" vertical="center" wrapText="1"/>
    </xf>
    <xf numFmtId="178" fontId="3" fillId="11" borderId="1" xfId="0" applyNumberFormat="1" applyFont="1" applyFill="1" applyBorder="1" applyAlignment="1">
      <alignment horizontal="left"/>
    </xf>
    <xf numFmtId="178" fontId="3" fillId="11" borderId="3" xfId="0" applyNumberFormat="1" applyFont="1" applyFill="1" applyBorder="1" applyAlignment="1">
      <alignment horizontal="left"/>
    </xf>
    <xf numFmtId="0" fontId="38" fillId="4" borderId="1"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38" fillId="4" borderId="3" xfId="0" applyFont="1" applyFill="1" applyBorder="1" applyAlignment="1">
      <alignment horizontal="center" vertical="center" wrapText="1"/>
    </xf>
    <xf numFmtId="0" fontId="28" fillId="0" borderId="12" xfId="0" applyFont="1" applyBorder="1" applyAlignment="1">
      <alignment horizontal="left" wrapText="1"/>
    </xf>
    <xf numFmtId="0" fontId="28" fillId="0" borderId="14" xfId="0" applyFont="1" applyBorder="1" applyAlignment="1">
      <alignment horizontal="left" wrapText="1"/>
    </xf>
  </cellXfs>
  <cellStyles count="6">
    <cellStyle name="Comma" xfId="5" builtinId="3"/>
    <cellStyle name="Currency" xfId="1" builtinId="4"/>
    <cellStyle name="Hyperlink" xfId="3" builtinId="8"/>
    <cellStyle name="Normal" xfId="0" builtinId="0"/>
    <cellStyle name="Percent" xfId="2" builtinId="5"/>
    <cellStyle name="Percent 2" xfId="4" xr:uid="{00000000-0005-0000-0000-000005000000}"/>
  </cellStyles>
  <dxfs count="145">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auto="1"/>
      </font>
      <fill>
        <patternFill>
          <bgColor rgb="FF00B050"/>
        </patternFill>
      </fill>
    </dxf>
    <dxf>
      <font>
        <color auto="1"/>
      </font>
      <fill>
        <patternFill>
          <bgColor rgb="FF00B050"/>
        </patternFill>
      </fill>
    </dxf>
    <dxf>
      <fill>
        <patternFill patternType="none">
          <bgColor auto="1"/>
        </patternFill>
      </fill>
    </dxf>
    <dxf>
      <fill>
        <patternFill patternType="none">
          <bgColor auto="1"/>
        </patternFill>
      </fill>
    </dxf>
    <dxf>
      <font>
        <color auto="1"/>
      </font>
      <fill>
        <patternFill>
          <bgColor rgb="FF00B050"/>
        </patternFill>
      </fill>
    </dxf>
    <dxf>
      <font>
        <color auto="1"/>
      </font>
      <fill>
        <patternFill>
          <bgColor rgb="FF00B05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ill>
        <patternFill>
          <bgColor rgb="FFFF0000"/>
        </patternFill>
      </fill>
    </dxf>
    <dxf>
      <fill>
        <patternFill patternType="none">
          <bgColor auto="1"/>
        </patternFill>
      </fill>
    </dxf>
    <dxf>
      <font>
        <color theme="0" tint="-0.14996795556505021"/>
      </font>
      <fill>
        <patternFill>
          <bgColor theme="0" tint="-0.14996795556505021"/>
        </patternFill>
      </fill>
    </dxf>
    <dxf>
      <fill>
        <patternFill patternType="none">
          <bgColor auto="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ill>
        <patternFill>
          <bgColor rgb="FFFF000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ill>
        <patternFill>
          <bgColor rgb="FFFF0000"/>
        </patternFill>
      </fill>
    </dxf>
    <dxf>
      <fill>
        <patternFill patternType="none">
          <bgColor auto="1"/>
        </patternFill>
      </fill>
    </dxf>
    <dxf>
      <font>
        <color theme="0" tint="-0.14996795556505021"/>
      </font>
      <fill>
        <patternFill>
          <bgColor theme="0" tint="-0.14996795556505021"/>
        </patternFill>
      </fill>
    </dxf>
    <dxf>
      <font>
        <color rgb="FF0070C0"/>
      </font>
      <fill>
        <patternFill>
          <bgColor theme="0"/>
        </patternFill>
      </fill>
    </dxf>
    <dxf>
      <font>
        <color rgb="FF0070C0"/>
      </font>
      <fill>
        <patternFill>
          <bgColor theme="0"/>
        </patternFill>
      </fill>
    </dxf>
    <dxf>
      <fill>
        <patternFill patternType="none">
          <bgColor auto="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none">
          <bgColor auto="1"/>
        </patternFill>
      </fill>
    </dxf>
    <dxf>
      <fill>
        <patternFill>
          <bgColor rgb="FF00B050"/>
        </patternFill>
      </fill>
    </dxf>
    <dxf>
      <fill>
        <patternFill patternType="none">
          <bgColor auto="1"/>
        </patternFill>
      </fill>
    </dxf>
    <dxf>
      <fill>
        <patternFill>
          <bgColor rgb="FFFF0000"/>
        </patternFill>
      </fill>
    </dxf>
    <dxf>
      <fill>
        <patternFill patternType="none">
          <bgColor auto="1"/>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ont>
        <color theme="0" tint="-0.14996795556505021"/>
      </font>
      <fill>
        <patternFill>
          <bgColor theme="0" tint="-0.14996795556505021"/>
        </patternFill>
      </fill>
    </dxf>
    <dxf>
      <fill>
        <patternFill>
          <bgColor rgb="FFFF0000"/>
        </patternFill>
      </fill>
    </dxf>
    <dxf>
      <fill>
        <patternFill>
          <bgColor rgb="FFFF0000"/>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theme="4"/>
      </font>
      <fill>
        <patternFill patternType="none">
          <bgColor auto="1"/>
        </patternFill>
      </fill>
    </dxf>
    <dxf>
      <font>
        <color auto="1"/>
      </font>
      <fill>
        <patternFill patternType="none">
          <bgColor auto="1"/>
        </patternFill>
      </fill>
    </dxf>
    <dxf>
      <font>
        <color auto="1"/>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3" tint="0.39994506668294322"/>
      </font>
      <fill>
        <patternFill>
          <bgColor rgb="FFFFFF99"/>
        </patternFill>
      </fill>
    </dxf>
    <dxf>
      <font>
        <color auto="1"/>
      </font>
      <fill>
        <patternFill patternType="none">
          <bgColor auto="1"/>
        </patternFill>
      </fill>
    </dxf>
    <dxf>
      <fill>
        <patternFill patternType="none">
          <bgColor auto="1"/>
        </patternFill>
      </fill>
    </dxf>
    <dxf>
      <font>
        <color theme="3" tint="0.39994506668294322"/>
      </font>
      <fill>
        <patternFill patternType="none">
          <bgColor auto="1"/>
        </patternFill>
      </fill>
    </dxf>
    <dxf>
      <font>
        <color theme="3" tint="0.39994506668294322"/>
      </font>
      <fill>
        <patternFill patternType="none">
          <bgColor auto="1"/>
        </patternFill>
      </fill>
    </dxf>
    <dxf>
      <font>
        <color theme="4"/>
      </font>
      <fill>
        <patternFill patternType="none">
          <bgColor auto="1"/>
        </patternFill>
      </fill>
    </dxf>
    <dxf>
      <font>
        <color auto="1"/>
      </font>
      <fill>
        <patternFill patternType="none">
          <bgColor auto="1"/>
        </patternFill>
      </fill>
    </dxf>
    <dxf>
      <font>
        <color auto="1"/>
      </font>
      <fill>
        <patternFill patternType="none">
          <bgColor auto="1"/>
        </patternFill>
      </fill>
    </dxf>
    <dxf>
      <font>
        <color theme="0" tint="-0.14996795556505021"/>
      </font>
      <fill>
        <patternFill>
          <bgColor theme="0" tint="-0.14996795556505021"/>
        </patternFill>
      </fill>
    </dxf>
    <dxf>
      <font>
        <color theme="3" tint="0.39994506668294322"/>
      </font>
      <fill>
        <patternFill patternType="none">
          <bgColor auto="1"/>
        </patternFill>
      </fill>
    </dxf>
    <dxf>
      <font>
        <color theme="3" tint="0.39994506668294322"/>
      </font>
      <fill>
        <patternFill patternType="none">
          <bgColor auto="1"/>
        </patternFill>
      </fill>
    </dxf>
    <dxf>
      <font>
        <color theme="3" tint="0.39994506668294322"/>
      </font>
      <fill>
        <patternFill patternType="none">
          <bgColor auto="1"/>
        </patternFill>
      </fill>
    </dxf>
    <dxf>
      <font>
        <color auto="1"/>
      </font>
      <fill>
        <patternFill patternType="none">
          <bgColor auto="1"/>
        </patternFill>
      </fill>
    </dxf>
    <dxf>
      <font>
        <color theme="3" tint="0.39994506668294322"/>
      </font>
      <fill>
        <patternFill patternType="none">
          <bgColor auto="1"/>
        </patternFill>
      </fill>
    </dxf>
    <dxf>
      <font>
        <b/>
        <i val="0"/>
        <color rgb="FFFFFF00"/>
      </font>
      <fill>
        <patternFill>
          <bgColor rgb="FFFF000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b/>
        <i val="0"/>
        <color rgb="FFFFFF00"/>
      </font>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ont>
        <color theme="0" tint="-0.14996795556505021"/>
      </font>
      <fill>
        <patternFill>
          <bgColor theme="0" tint="-0.14996795556505021"/>
        </patternFill>
      </fill>
    </dxf>
    <dxf>
      <fill>
        <patternFill>
          <bgColor rgb="FF00B050"/>
        </patternFill>
      </fill>
    </dxf>
    <dxf>
      <fill>
        <patternFill>
          <bgColor rgb="FF00B050"/>
        </patternFill>
      </fill>
    </dxf>
    <dxf>
      <font>
        <color theme="0" tint="-0.14996795556505021"/>
      </font>
      <fill>
        <patternFill>
          <bgColor theme="0" tint="-0.14996795556505021"/>
        </patternFill>
      </fill>
    </dxf>
    <dxf>
      <fill>
        <patternFill>
          <bgColor rgb="FFFF0000"/>
        </patternFill>
      </fill>
    </dxf>
    <dxf>
      <fill>
        <patternFill>
          <bgColor theme="0"/>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Light16"/>
  <colors>
    <mruColors>
      <color rgb="FFFFFF99"/>
      <color rgb="FF000000"/>
      <color rgb="FF1C1C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1"/>
    </c:title>
    <c:autoTitleDeleted val="0"/>
    <c:plotArea>
      <c:layout/>
      <c:lineChart>
        <c:grouping val="standard"/>
        <c:varyColors val="0"/>
        <c:ser>
          <c:idx val="0"/>
          <c:order val="0"/>
          <c:tx>
            <c:strRef>
              <c:f>'Annual Cash Flows &amp; Returns'!$N$4</c:f>
              <c:strCache>
                <c:ptCount val="1"/>
                <c:pt idx="0">
                  <c:v>Cumulative Cash Flow</c:v>
                </c:pt>
              </c:strCache>
            </c:strRef>
          </c:tx>
          <c:marker>
            <c:symbol val="none"/>
          </c:marker>
          <c:cat>
            <c:numRef>
              <c:f>'Annual Cash Flows &amp; Returns'!$B$6:$B$36</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'Annual Cash Flows &amp; Returns'!$N$6:$N$36</c:f>
              <c:numCache>
                <c:formatCode>"$"#,##0_);[Red]\("$"#,##0\)</c:formatCode>
                <c:ptCount val="31"/>
                <c:pt idx="0">
                  <c:v>-12500000</c:v>
                </c:pt>
                <c:pt idx="1">
                  <c:v>-234368.1740942765</c:v>
                </c:pt>
                <c:pt idx="2">
                  <c:v>1096192.7181290858</c:v>
                </c:pt>
                <c:pt idx="3">
                  <c:v>1871195.7740506637</c:v>
                </c:pt>
                <c:pt idx="4">
                  <c:v>2298999.3612882439</c:v>
                </c:pt>
                <c:pt idx="5">
                  <c:v>2692581.2580576427</c:v>
                </c:pt>
                <c:pt idx="6">
                  <c:v>2815096.247319344</c:v>
                </c:pt>
                <c:pt idx="7">
                  <c:v>2665406.2990142992</c:v>
                </c:pt>
                <c:pt idx="8">
                  <c:v>2477854.8603906464</c:v>
                </c:pt>
                <c:pt idx="9">
                  <c:v>2250996.0224312581</c:v>
                </c:pt>
                <c:pt idx="10">
                  <c:v>1983150.5158870902</c:v>
                </c:pt>
                <c:pt idx="11">
                  <c:v>1672526.7750667355</c:v>
                </c:pt>
                <c:pt idx="12">
                  <c:v>1317183.9728400416</c:v>
                </c:pt>
                <c:pt idx="13">
                  <c:v>915079.36266595707</c:v>
                </c:pt>
                <c:pt idx="14">
                  <c:v>464003.64267814689</c:v>
                </c:pt>
                <c:pt idx="15">
                  <c:v>-38372.908692548226</c:v>
                </c:pt>
                <c:pt idx="16">
                  <c:v>1459096.4176280228</c:v>
                </c:pt>
                <c:pt idx="17">
                  <c:v>2247814.3049592869</c:v>
                </c:pt>
                <c:pt idx="18">
                  <c:v>3018855.2660554461</c:v>
                </c:pt>
                <c:pt idx="19">
                  <c:v>3772089.8115071142</c:v>
                </c:pt>
                <c:pt idx="20">
                  <c:v>5081501.5826827958</c:v>
                </c:pt>
                <c:pt idx="21">
                  <c:v>5081501.5826827958</c:v>
                </c:pt>
                <c:pt idx="22">
                  <c:v>5081501.5826827958</c:v>
                </c:pt>
                <c:pt idx="23">
                  <c:v>5081501.5826827958</c:v>
                </c:pt>
                <c:pt idx="24">
                  <c:v>5081501.5826827958</c:v>
                </c:pt>
                <c:pt idx="25">
                  <c:v>5081501.5826827958</c:v>
                </c:pt>
                <c:pt idx="26">
                  <c:v>5081501.5826827958</c:v>
                </c:pt>
                <c:pt idx="27">
                  <c:v>5081501.5826827958</c:v>
                </c:pt>
                <c:pt idx="28">
                  <c:v>5081501.5826827958</c:v>
                </c:pt>
                <c:pt idx="29">
                  <c:v>5081501.5826827958</c:v>
                </c:pt>
                <c:pt idx="30">
                  <c:v>5081501.5826827958</c:v>
                </c:pt>
              </c:numCache>
            </c:numRef>
          </c:val>
          <c:smooth val="0"/>
          <c:extLst>
            <c:ext xmlns:c16="http://schemas.microsoft.com/office/drawing/2014/chart" uri="{C3380CC4-5D6E-409C-BE32-E72D297353CC}">
              <c16:uniqueId val="{00000000-61DB-E448-9073-6BFD38F5F692}"/>
            </c:ext>
          </c:extLst>
        </c:ser>
        <c:dLbls>
          <c:showLegendKey val="0"/>
          <c:showVal val="0"/>
          <c:showCatName val="0"/>
          <c:showSerName val="0"/>
          <c:showPercent val="0"/>
          <c:showBubbleSize val="0"/>
        </c:dLbls>
        <c:smooth val="0"/>
        <c:axId val="309780480"/>
        <c:axId val="309782400"/>
      </c:lineChart>
      <c:catAx>
        <c:axId val="309780480"/>
        <c:scaling>
          <c:orientation val="minMax"/>
        </c:scaling>
        <c:delete val="0"/>
        <c:axPos val="b"/>
        <c:title>
          <c:tx>
            <c:rich>
              <a:bodyPr/>
              <a:lstStyle/>
              <a:p>
                <a:pPr>
                  <a:defRPr sz="1100"/>
                </a:pPr>
                <a:r>
                  <a:rPr lang="en-US" sz="1100"/>
                  <a:t>Project Year</a:t>
                </a:r>
              </a:p>
            </c:rich>
          </c:tx>
          <c:overlay val="0"/>
        </c:title>
        <c:numFmt formatCode="General" sourceLinked="1"/>
        <c:majorTickMark val="out"/>
        <c:minorTickMark val="none"/>
        <c:tickLblPos val="nextTo"/>
        <c:crossAx val="309782400"/>
        <c:crosses val="autoZero"/>
        <c:auto val="1"/>
        <c:lblAlgn val="ctr"/>
        <c:lblOffset val="100"/>
        <c:tickLblSkip val="5"/>
        <c:noMultiLvlLbl val="0"/>
      </c:catAx>
      <c:valAx>
        <c:axId val="309782400"/>
        <c:scaling>
          <c:orientation val="minMax"/>
        </c:scaling>
        <c:delete val="0"/>
        <c:axPos val="l"/>
        <c:title>
          <c:tx>
            <c:rich>
              <a:bodyPr rot="-5400000" vert="horz"/>
              <a:lstStyle/>
              <a:p>
                <a:pPr>
                  <a:defRPr sz="1100" b="1"/>
                </a:pPr>
                <a:r>
                  <a:rPr lang="en-US" sz="1100" b="1"/>
                  <a:t>Cumulative Cash Flow ($)</a:t>
                </a:r>
              </a:p>
            </c:rich>
          </c:tx>
          <c:overlay val="0"/>
        </c:title>
        <c:numFmt formatCode="&quot;$&quot;#,##0_);[Red]\(&quot;$&quot;#,##0\)" sourceLinked="1"/>
        <c:majorTickMark val="out"/>
        <c:minorTickMark val="none"/>
        <c:tickLblPos val="nextTo"/>
        <c:crossAx val="309780480"/>
        <c:crosses val="autoZero"/>
        <c:crossBetween val="between"/>
      </c:valAx>
      <c:spPr>
        <a:solidFill>
          <a:srgbClr val="FFFF99"/>
        </a:solidFill>
      </c:spPr>
    </c:plotArea>
    <c:plotVisOnly val="1"/>
    <c:dispBlanksAs val="gap"/>
    <c:showDLblsOverMax val="0"/>
  </c:chart>
  <c:spPr>
    <a:solidFill>
      <a:srgbClr val="FFFF99"/>
    </a:solidFill>
  </c:spPr>
  <c:printSettings>
    <c:headerFooter/>
    <c:pageMargins b="0.75000000000001066" l="0.70000000000000062" r="0.70000000000000062" t="0.75000000000001066"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Revenue + Tax Benefits / (Liability) v. </a:t>
            </a:r>
          </a:p>
          <a:p>
            <a:pPr>
              <a:defRPr/>
            </a:pPr>
            <a:r>
              <a:rPr lang="en-US"/>
              <a:t>Expenses + Cash Obligations</a:t>
            </a:r>
          </a:p>
        </c:rich>
      </c:tx>
      <c:overlay val="1"/>
    </c:title>
    <c:autoTitleDeleted val="0"/>
    <c:plotArea>
      <c:layout/>
      <c:areaChart>
        <c:grouping val="standard"/>
        <c:varyColors val="0"/>
        <c:ser>
          <c:idx val="1"/>
          <c:order val="1"/>
          <c:tx>
            <c:strRef>
              <c:f>'Annual Cash Flows &amp; Returns'!$S$4</c:f>
              <c:strCache>
                <c:ptCount val="1"/>
                <c:pt idx="0">
                  <c:v>Expenses + Cash Obligations</c:v>
                </c:pt>
              </c:strCache>
            </c:strRef>
          </c:tx>
          <c:cat>
            <c:numRef>
              <c:f>'Annual Cash Flows &amp; Returns'!$B$6:$B$36</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'Annual Cash Flows &amp; Returns'!$S$6:$S$36</c:f>
              <c:numCache>
                <c:formatCode>"$"#,##0_);[Red]\("$"#,##0\)</c:formatCode>
                <c:ptCount val="31"/>
                <c:pt idx="1">
                  <c:v>2412749.2887625815</c:v>
                </c:pt>
                <c:pt idx="2">
                  <c:v>2425868.6263625822</c:v>
                </c:pt>
                <c:pt idx="3">
                  <c:v>2439207.6614825814</c:v>
                </c:pt>
                <c:pt idx="4">
                  <c:v>2452769.9417686812</c:v>
                </c:pt>
                <c:pt idx="5">
                  <c:v>2466559.0742611401</c:v>
                </c:pt>
                <c:pt idx="6">
                  <c:v>2480578.7264047833</c:v>
                </c:pt>
                <c:pt idx="7">
                  <c:v>2494832.6270769914</c:v>
                </c:pt>
                <c:pt idx="8">
                  <c:v>2509324.5676335911</c:v>
                </c:pt>
                <c:pt idx="9">
                  <c:v>2524058.4029729762</c:v>
                </c:pt>
                <c:pt idx="10">
                  <c:v>2539038.0526187643</c:v>
                </c:pt>
                <c:pt idx="11">
                  <c:v>2554267.5018213307</c:v>
                </c:pt>
                <c:pt idx="12">
                  <c:v>2569750.8026785576</c:v>
                </c:pt>
                <c:pt idx="13">
                  <c:v>2585492.0752761289</c:v>
                </c:pt>
                <c:pt idx="14">
                  <c:v>2601495.508847733</c:v>
                </c:pt>
                <c:pt idx="15">
                  <c:v>2617765.3629555162</c:v>
                </c:pt>
                <c:pt idx="16">
                  <c:v>575656.7555472845</c:v>
                </c:pt>
                <c:pt idx="17">
                  <c:v>1278688.9211353413</c:v>
                </c:pt>
                <c:pt idx="18">
                  <c:v>1295784.3156515053</c:v>
                </c:pt>
                <c:pt idx="19">
                  <c:v>1313163.8965755005</c:v>
                </c:pt>
                <c:pt idx="20">
                  <c:v>754142.0766449729</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0-9E23-3147-A669-739C3AED351F}"/>
            </c:ext>
          </c:extLst>
        </c:ser>
        <c:dLbls>
          <c:showLegendKey val="0"/>
          <c:showVal val="0"/>
          <c:showCatName val="0"/>
          <c:showSerName val="0"/>
          <c:showPercent val="0"/>
          <c:showBubbleSize val="0"/>
        </c:dLbls>
        <c:axId val="309357184"/>
        <c:axId val="309375744"/>
      </c:areaChart>
      <c:lineChart>
        <c:grouping val="standard"/>
        <c:varyColors val="0"/>
        <c:ser>
          <c:idx val="0"/>
          <c:order val="0"/>
          <c:tx>
            <c:strRef>
              <c:f>'Annual Cash Flows &amp; Returns'!$R$4</c:f>
              <c:strCache>
                <c:ptCount val="1"/>
                <c:pt idx="0">
                  <c:v>Revenue + Tax Benefit/(Liability)</c:v>
                </c:pt>
              </c:strCache>
            </c:strRef>
          </c:tx>
          <c:marker>
            <c:symbol val="none"/>
          </c:marker>
          <c:cat>
            <c:numRef>
              <c:f>'Annual Cash Flows &amp; Returns'!$B$6:$B$36</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'Annual Cash Flows &amp; Returns'!$R$6:$R$36</c:f>
              <c:numCache>
                <c:formatCode>"$"#,##0_);[Red]\("$"#,##0\)</c:formatCode>
                <c:ptCount val="31"/>
                <c:pt idx="1">
                  <c:v>14678381.114668304</c:v>
                </c:pt>
                <c:pt idx="2">
                  <c:v>3756429.5185859445</c:v>
                </c:pt>
                <c:pt idx="3">
                  <c:v>3214210.7174041593</c:v>
                </c:pt>
                <c:pt idx="4">
                  <c:v>2880573.5290062614</c:v>
                </c:pt>
                <c:pt idx="5">
                  <c:v>2860140.9710305389</c:v>
                </c:pt>
                <c:pt idx="6">
                  <c:v>2603093.715666485</c:v>
                </c:pt>
                <c:pt idx="7">
                  <c:v>2345142.6787719466</c:v>
                </c:pt>
                <c:pt idx="8">
                  <c:v>2321773.1290099383</c:v>
                </c:pt>
                <c:pt idx="9">
                  <c:v>2297199.5650135879</c:v>
                </c:pt>
                <c:pt idx="10">
                  <c:v>2271192.5460745962</c:v>
                </c:pt>
                <c:pt idx="11">
                  <c:v>2243643.761000976</c:v>
                </c:pt>
                <c:pt idx="12">
                  <c:v>2214408.0004518637</c:v>
                </c:pt>
                <c:pt idx="13">
                  <c:v>2183387.4651020444</c:v>
                </c:pt>
                <c:pt idx="14">
                  <c:v>2150419.7888599234</c:v>
                </c:pt>
                <c:pt idx="15">
                  <c:v>2115388.811584821</c:v>
                </c:pt>
                <c:pt idx="16">
                  <c:v>2073126.0818678557</c:v>
                </c:pt>
                <c:pt idx="17">
                  <c:v>2067406.8084666051</c:v>
                </c:pt>
                <c:pt idx="18">
                  <c:v>2066825.2767476642</c:v>
                </c:pt>
                <c:pt idx="19">
                  <c:v>2066398.4420271688</c:v>
                </c:pt>
                <c:pt idx="20">
                  <c:v>2063553.8478206543</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1-9E23-3147-A669-739C3AED351F}"/>
            </c:ext>
          </c:extLst>
        </c:ser>
        <c:dLbls>
          <c:showLegendKey val="0"/>
          <c:showVal val="0"/>
          <c:showCatName val="0"/>
          <c:showSerName val="0"/>
          <c:showPercent val="0"/>
          <c:showBubbleSize val="0"/>
        </c:dLbls>
        <c:marker val="1"/>
        <c:smooth val="0"/>
        <c:axId val="309357184"/>
        <c:axId val="309375744"/>
      </c:lineChart>
      <c:catAx>
        <c:axId val="309357184"/>
        <c:scaling>
          <c:orientation val="minMax"/>
        </c:scaling>
        <c:delete val="0"/>
        <c:axPos val="b"/>
        <c:title>
          <c:tx>
            <c:rich>
              <a:bodyPr/>
              <a:lstStyle/>
              <a:p>
                <a:pPr>
                  <a:defRPr sz="1100"/>
                </a:pPr>
                <a:r>
                  <a:rPr lang="en-US" sz="1100"/>
                  <a:t>Project Year</a:t>
                </a:r>
              </a:p>
            </c:rich>
          </c:tx>
          <c:overlay val="0"/>
        </c:title>
        <c:numFmt formatCode="General" sourceLinked="1"/>
        <c:majorTickMark val="out"/>
        <c:minorTickMark val="none"/>
        <c:tickLblPos val="nextTo"/>
        <c:crossAx val="309375744"/>
        <c:crosses val="autoZero"/>
        <c:auto val="1"/>
        <c:lblAlgn val="ctr"/>
        <c:lblOffset val="100"/>
        <c:tickLblSkip val="5"/>
        <c:noMultiLvlLbl val="0"/>
      </c:catAx>
      <c:valAx>
        <c:axId val="309375744"/>
        <c:scaling>
          <c:orientation val="minMax"/>
        </c:scaling>
        <c:delete val="0"/>
        <c:axPos val="l"/>
        <c:title>
          <c:tx>
            <c:rich>
              <a:bodyPr rot="-5400000" vert="horz"/>
              <a:lstStyle/>
              <a:p>
                <a:pPr>
                  <a:defRPr sz="1100" b="1"/>
                </a:pPr>
                <a:r>
                  <a:rPr lang="en-US" sz="1100" b="1"/>
                  <a:t>( $)</a:t>
                </a:r>
              </a:p>
            </c:rich>
          </c:tx>
          <c:overlay val="0"/>
        </c:title>
        <c:numFmt formatCode="&quot;$&quot;#,##0" sourceLinked="0"/>
        <c:majorTickMark val="out"/>
        <c:minorTickMark val="none"/>
        <c:tickLblPos val="nextTo"/>
        <c:crossAx val="309357184"/>
        <c:crosses val="autoZero"/>
        <c:crossBetween val="between"/>
      </c:valAx>
      <c:spPr>
        <a:solidFill>
          <a:srgbClr val="FFFF99"/>
        </a:solidFill>
      </c:spPr>
    </c:plotArea>
    <c:legend>
      <c:legendPos val="r"/>
      <c:overlay val="1"/>
    </c:legend>
    <c:plotVisOnly val="1"/>
    <c:dispBlanksAs val="gap"/>
    <c:showDLblsOverMax val="0"/>
  </c:chart>
  <c:spPr>
    <a:solidFill>
      <a:srgbClr val="FFFF99"/>
    </a:solidFill>
  </c:spPr>
  <c:printSettings>
    <c:headerFooter/>
    <c:pageMargins b="0.75000000000001088" l="0.70000000000000062" r="0.70000000000000062" t="0.75000000000001088"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83341</xdr:colOff>
      <xdr:row>37</xdr:row>
      <xdr:rowOff>130969</xdr:rowOff>
    </xdr:from>
    <xdr:to>
      <xdr:col>8</xdr:col>
      <xdr:colOff>452437</xdr:colOff>
      <xdr:row>61</xdr:row>
      <xdr:rowOff>35719</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535780</xdr:colOff>
      <xdr:row>37</xdr:row>
      <xdr:rowOff>154781</xdr:rowOff>
    </xdr:from>
    <xdr:to>
      <xdr:col>16</xdr:col>
      <xdr:colOff>23813</xdr:colOff>
      <xdr:row>61</xdr:row>
      <xdr:rowOff>71437</xdr:rowOff>
    </xdr:to>
    <xdr:graphicFrame macro="">
      <xdr:nvGraphicFramePr>
        <xdr:cNvPr id="4" name="Chart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dsireusa.org/incentives/index.cfm?state=us&amp;re=1&amp;EE=1" TargetMode="External"/><Relationship Id="rId7" Type="http://schemas.openxmlformats.org/officeDocument/2006/relationships/vmlDrawing" Target="../drawings/vmlDrawing1.vml"/><Relationship Id="rId2" Type="http://schemas.openxmlformats.org/officeDocument/2006/relationships/hyperlink" Target="http://dsireusa.org/incentives/incentive.cfm?Incentive_Code=US02F&amp;re=1&amp;ee=1" TargetMode="External"/><Relationship Id="rId1" Type="http://schemas.openxmlformats.org/officeDocument/2006/relationships/hyperlink" Target="http://dsireusa.org/" TargetMode="External"/><Relationship Id="rId6" Type="http://schemas.openxmlformats.org/officeDocument/2006/relationships/printerSettings" Target="../printerSettings/printerSettings1.bin"/><Relationship Id="rId5" Type="http://schemas.openxmlformats.org/officeDocument/2006/relationships/hyperlink" Target="http://financere.nrel.gov/finance/content/crest-model" TargetMode="External"/><Relationship Id="rId4" Type="http://schemas.openxmlformats.org/officeDocument/2006/relationships/hyperlink" Target="http://financere.nrel.gov/finance/content/crest-model"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1:R43"/>
  <sheetViews>
    <sheetView showGridLines="0" tabSelected="1" zoomScale="80" zoomScaleNormal="80" workbookViewId="0">
      <pane ySplit="4" topLeftCell="A5" activePane="bottomLeft" state="frozen"/>
      <selection pane="bottomLeft" activeCell="C4" sqref="C4"/>
    </sheetView>
  </sheetViews>
  <sheetFormatPr baseColWidth="10" defaultColWidth="9.1640625" defaultRowHeight="16"/>
  <cols>
    <col min="1" max="1" width="2.6640625" style="160" customWidth="1"/>
    <col min="2" max="2" width="26.6640625" style="160" customWidth="1"/>
    <col min="3" max="3" width="140.1640625" style="160" customWidth="1"/>
    <col min="4" max="4" width="16.83203125" style="160" customWidth="1"/>
    <col min="5" max="12" width="9.1640625" style="160"/>
    <col min="13" max="14" width="9.5" style="160" customWidth="1"/>
    <col min="15" max="15" width="5.33203125" style="160" customWidth="1"/>
    <col min="16" max="16384" width="9.1640625" style="160"/>
  </cols>
  <sheetData>
    <row r="1" spans="2:18" ht="9" customHeight="1" thickBot="1"/>
    <row r="2" spans="2:18" ht="30" customHeight="1">
      <c r="B2" s="225" t="s">
        <v>192</v>
      </c>
      <c r="C2" s="226" t="s">
        <v>360</v>
      </c>
      <c r="D2" s="227"/>
      <c r="E2" s="155"/>
      <c r="F2" s="155"/>
      <c r="G2" s="155"/>
      <c r="H2" s="155"/>
      <c r="I2" s="155"/>
      <c r="J2" s="155"/>
      <c r="K2" s="155"/>
      <c r="L2" s="155"/>
      <c r="M2" s="155"/>
      <c r="N2" s="155"/>
      <c r="P2" s="153"/>
      <c r="Q2" s="154"/>
      <c r="R2" s="154"/>
    </row>
    <row r="3" spans="2:18" ht="30" customHeight="1">
      <c r="B3" s="311" t="s">
        <v>210</v>
      </c>
      <c r="C3" s="312" t="s">
        <v>467</v>
      </c>
      <c r="D3" s="313"/>
      <c r="E3" s="155"/>
      <c r="F3" s="155"/>
      <c r="G3" s="155"/>
      <c r="H3" s="155"/>
      <c r="I3" s="155"/>
      <c r="J3" s="155"/>
      <c r="K3" s="155"/>
      <c r="L3" s="155"/>
      <c r="M3" s="155"/>
      <c r="N3" s="155"/>
      <c r="P3" s="153"/>
      <c r="Q3" s="154"/>
      <c r="R3" s="154"/>
    </row>
    <row r="4" spans="2:18" ht="60" customHeight="1" thickBot="1">
      <c r="B4" s="729" t="s">
        <v>466</v>
      </c>
      <c r="C4" s="730" t="s">
        <v>465</v>
      </c>
      <c r="D4" s="313"/>
      <c r="E4" s="155"/>
      <c r="F4" s="155"/>
      <c r="G4" s="155"/>
      <c r="H4" s="155"/>
      <c r="I4" s="155"/>
      <c r="J4" s="155"/>
      <c r="K4" s="155"/>
      <c r="L4" s="155"/>
      <c r="M4" s="155"/>
      <c r="N4" s="155"/>
      <c r="P4" s="153"/>
      <c r="Q4" s="154"/>
      <c r="R4" s="154"/>
    </row>
    <row r="5" spans="2:18" ht="30" customHeight="1">
      <c r="B5" s="694" t="s">
        <v>428</v>
      </c>
      <c r="C5" s="695" t="s">
        <v>429</v>
      </c>
      <c r="D5" s="229"/>
      <c r="E5" s="155"/>
      <c r="F5" s="155"/>
      <c r="G5" s="155"/>
      <c r="H5" s="155"/>
      <c r="I5" s="155"/>
      <c r="J5" s="155"/>
      <c r="K5" s="155"/>
      <c r="L5" s="155"/>
      <c r="M5" s="155"/>
      <c r="N5" s="155"/>
      <c r="P5" s="154"/>
      <c r="Q5" s="154"/>
      <c r="R5" s="154"/>
    </row>
    <row r="6" spans="2:18" ht="60" customHeight="1">
      <c r="B6" s="521" t="s">
        <v>430</v>
      </c>
      <c r="C6" s="233" t="s">
        <v>431</v>
      </c>
      <c r="D6" s="229"/>
      <c r="E6" s="155"/>
      <c r="F6" s="155"/>
      <c r="G6" s="155"/>
      <c r="H6" s="155"/>
      <c r="I6" s="155"/>
      <c r="J6" s="155"/>
      <c r="K6" s="155"/>
      <c r="L6" s="155"/>
      <c r="M6" s="155"/>
      <c r="N6" s="155"/>
      <c r="P6" s="154"/>
      <c r="Q6" s="154"/>
      <c r="R6" s="154"/>
    </row>
    <row r="7" spans="2:18" ht="60" customHeight="1">
      <c r="B7" s="521" t="s">
        <v>432</v>
      </c>
      <c r="C7" s="233" t="s">
        <v>433</v>
      </c>
      <c r="D7" s="229"/>
      <c r="E7" s="155"/>
      <c r="F7" s="155"/>
      <c r="G7" s="155"/>
      <c r="H7" s="155"/>
      <c r="I7" s="155"/>
      <c r="J7" s="155"/>
      <c r="K7" s="155"/>
      <c r="L7" s="155"/>
      <c r="M7" s="155"/>
      <c r="N7" s="155"/>
      <c r="P7" s="154"/>
      <c r="Q7" s="154"/>
      <c r="R7" s="154"/>
    </row>
    <row r="8" spans="2:18">
      <c r="B8" s="228"/>
      <c r="C8" s="230"/>
      <c r="D8" s="231"/>
      <c r="E8" s="156"/>
      <c r="F8" s="156"/>
      <c r="G8" s="156"/>
      <c r="H8" s="156"/>
      <c r="I8" s="156"/>
      <c r="J8" s="156"/>
      <c r="K8" s="156"/>
      <c r="L8" s="156"/>
      <c r="M8" s="156"/>
      <c r="N8" s="156"/>
      <c r="P8" s="154"/>
      <c r="Q8" s="154"/>
      <c r="R8" s="154"/>
    </row>
    <row r="9" spans="2:18" ht="102">
      <c r="B9" s="232" t="s">
        <v>193</v>
      </c>
      <c r="C9" s="233" t="s">
        <v>426</v>
      </c>
      <c r="D9" s="234"/>
      <c r="E9" s="157"/>
      <c r="F9" s="157"/>
      <c r="G9" s="157"/>
      <c r="H9" s="157"/>
      <c r="I9" s="157"/>
      <c r="J9" s="157"/>
      <c r="K9" s="157"/>
      <c r="L9" s="157"/>
      <c r="M9" s="157"/>
      <c r="N9" s="157"/>
      <c r="P9" s="153"/>
      <c r="Q9" s="154"/>
      <c r="R9" s="154"/>
    </row>
    <row r="10" spans="2:18" ht="17">
      <c r="B10" s="232"/>
      <c r="C10" s="692" t="s">
        <v>413</v>
      </c>
      <c r="D10" s="234"/>
      <c r="E10" s="157"/>
      <c r="F10" s="157"/>
      <c r="G10" s="157"/>
      <c r="H10" s="157"/>
      <c r="I10" s="157"/>
      <c r="J10" s="157"/>
      <c r="K10" s="157"/>
      <c r="L10" s="157"/>
      <c r="M10" s="157"/>
      <c r="N10" s="157"/>
      <c r="P10" s="153"/>
      <c r="Q10" s="154"/>
      <c r="R10" s="154"/>
    </row>
    <row r="11" spans="2:18">
      <c r="B11" s="232"/>
      <c r="C11" s="233"/>
      <c r="D11" s="234"/>
      <c r="E11" s="157"/>
      <c r="F11" s="157"/>
      <c r="G11" s="157"/>
      <c r="H11" s="157"/>
      <c r="I11" s="157"/>
      <c r="J11" s="157"/>
      <c r="K11" s="157"/>
      <c r="L11" s="157"/>
      <c r="M11" s="157"/>
      <c r="N11" s="157"/>
      <c r="P11" s="153"/>
      <c r="Q11" s="154"/>
      <c r="R11" s="154"/>
    </row>
    <row r="12" spans="2:18" ht="64.5" customHeight="1">
      <c r="B12" s="238" t="s">
        <v>374</v>
      </c>
      <c r="C12" s="233" t="s">
        <v>415</v>
      </c>
      <c r="D12" s="234"/>
      <c r="E12" s="157"/>
      <c r="F12" s="157"/>
      <c r="G12" s="157"/>
      <c r="H12" s="157"/>
      <c r="I12" s="157"/>
      <c r="J12" s="157"/>
      <c r="K12" s="157"/>
      <c r="L12" s="157"/>
      <c r="M12" s="157"/>
      <c r="N12" s="157"/>
      <c r="P12" s="153"/>
      <c r="Q12" s="154"/>
      <c r="R12" s="154"/>
    </row>
    <row r="13" spans="2:18" ht="17">
      <c r="B13" s="238"/>
      <c r="C13" s="692" t="s">
        <v>413</v>
      </c>
      <c r="D13" s="234"/>
      <c r="E13" s="157"/>
      <c r="F13" s="157"/>
      <c r="G13" s="157"/>
      <c r="H13" s="157"/>
      <c r="I13" s="157"/>
      <c r="J13" s="157"/>
      <c r="K13" s="157"/>
      <c r="L13" s="157"/>
      <c r="M13" s="157"/>
      <c r="N13" s="157"/>
      <c r="P13" s="153"/>
      <c r="Q13" s="154"/>
      <c r="R13" s="154"/>
    </row>
    <row r="14" spans="2:18" ht="17">
      <c r="B14" s="238"/>
      <c r="C14" s="233" t="s">
        <v>414</v>
      </c>
      <c r="D14" s="234"/>
      <c r="E14" s="157"/>
      <c r="F14" s="157"/>
      <c r="G14" s="157"/>
      <c r="H14" s="157"/>
      <c r="I14" s="157"/>
      <c r="J14" s="157"/>
      <c r="K14" s="157"/>
      <c r="L14" s="157"/>
      <c r="M14" s="157"/>
      <c r="N14" s="157"/>
      <c r="P14" s="153"/>
      <c r="Q14" s="154"/>
      <c r="R14" s="154"/>
    </row>
    <row r="15" spans="2:18">
      <c r="B15" s="235"/>
      <c r="C15" s="236"/>
      <c r="D15" s="237"/>
      <c r="E15" s="158"/>
      <c r="F15" s="158"/>
      <c r="G15" s="158"/>
      <c r="H15" s="158"/>
      <c r="I15" s="158"/>
      <c r="J15" s="158"/>
      <c r="K15" s="158"/>
      <c r="L15" s="158"/>
      <c r="M15" s="158"/>
      <c r="N15" s="158"/>
      <c r="P15" s="154"/>
      <c r="Q15" s="154"/>
      <c r="R15" s="154"/>
    </row>
    <row r="16" spans="2:18" ht="102">
      <c r="B16" s="238" t="s">
        <v>202</v>
      </c>
      <c r="C16" s="310" t="s">
        <v>401</v>
      </c>
      <c r="D16" s="240"/>
      <c r="E16" s="159"/>
      <c r="F16" s="159"/>
      <c r="G16" s="159"/>
      <c r="H16" s="159"/>
      <c r="I16" s="159"/>
      <c r="J16" s="159"/>
      <c r="K16" s="159"/>
      <c r="L16" s="159"/>
      <c r="M16" s="159"/>
      <c r="N16" s="159"/>
      <c r="P16" s="154"/>
      <c r="Q16" s="154"/>
      <c r="R16" s="154"/>
    </row>
    <row r="17" spans="2:18" ht="17">
      <c r="B17" s="238"/>
      <c r="C17" s="239"/>
      <c r="D17" s="522" t="s">
        <v>375</v>
      </c>
      <c r="E17" s="159"/>
      <c r="F17" s="159"/>
      <c r="G17" s="159"/>
      <c r="H17" s="159"/>
      <c r="I17" s="159"/>
      <c r="J17" s="159"/>
      <c r="K17" s="159"/>
      <c r="L17" s="159"/>
      <c r="M17" s="159"/>
      <c r="N17" s="159"/>
      <c r="P17" s="154"/>
      <c r="Q17" s="154"/>
      <c r="R17" s="154"/>
    </row>
    <row r="18" spans="2:18" ht="34">
      <c r="B18" s="238" t="s">
        <v>211</v>
      </c>
      <c r="C18" s="233" t="s">
        <v>329</v>
      </c>
      <c r="D18" s="674" t="s">
        <v>376</v>
      </c>
      <c r="E18" s="159"/>
      <c r="F18" s="159"/>
      <c r="G18" s="159"/>
      <c r="H18" s="159"/>
      <c r="I18" s="159"/>
      <c r="J18" s="159"/>
      <c r="K18" s="159"/>
      <c r="L18" s="159"/>
      <c r="M18" s="159"/>
      <c r="N18" s="159"/>
      <c r="P18" s="154"/>
      <c r="Q18" s="154"/>
      <c r="R18" s="154"/>
    </row>
    <row r="19" spans="2:18" ht="30" customHeight="1">
      <c r="B19" s="238"/>
      <c r="C19" s="314" t="s">
        <v>203</v>
      </c>
      <c r="D19" s="523" t="s">
        <v>377</v>
      </c>
      <c r="E19" s="158"/>
      <c r="F19" s="158"/>
      <c r="G19" s="158"/>
      <c r="H19" s="158"/>
      <c r="I19" s="158"/>
      <c r="J19" s="158"/>
      <c r="K19" s="158"/>
      <c r="L19" s="158"/>
      <c r="M19" s="158"/>
      <c r="N19" s="158"/>
      <c r="P19" s="154"/>
      <c r="Q19" s="154"/>
      <c r="R19" s="154"/>
    </row>
    <row r="20" spans="2:18" ht="30" customHeight="1">
      <c r="B20" s="238"/>
      <c r="C20" s="315" t="s">
        <v>212</v>
      </c>
      <c r="D20" s="524"/>
      <c r="E20" s="159"/>
      <c r="F20" s="159"/>
      <c r="G20" s="159"/>
      <c r="H20" s="159"/>
      <c r="I20" s="159"/>
      <c r="J20" s="159"/>
      <c r="K20" s="159"/>
      <c r="L20" s="159"/>
      <c r="M20" s="159"/>
      <c r="N20" s="159"/>
      <c r="P20" s="153"/>
      <c r="Q20" s="154"/>
      <c r="R20" s="154"/>
    </row>
    <row r="21" spans="2:18" ht="30" customHeight="1">
      <c r="B21" s="238"/>
      <c r="C21" s="315" t="s">
        <v>330</v>
      </c>
      <c r="D21" s="525"/>
      <c r="E21" s="161"/>
      <c r="F21" s="161"/>
      <c r="G21" s="161"/>
      <c r="H21" s="161"/>
      <c r="I21" s="161"/>
      <c r="J21" s="161"/>
      <c r="K21" s="161"/>
      <c r="L21" s="161"/>
      <c r="M21" s="161"/>
      <c r="N21" s="161"/>
      <c r="P21" s="154"/>
      <c r="Q21" s="154"/>
      <c r="R21" s="154"/>
    </row>
    <row r="22" spans="2:18" ht="30" customHeight="1">
      <c r="B22" s="238"/>
      <c r="C22" s="314" t="s">
        <v>331</v>
      </c>
      <c r="D22" s="526" t="s">
        <v>378</v>
      </c>
      <c r="E22" s="162"/>
      <c r="F22" s="162"/>
      <c r="G22" s="162"/>
      <c r="H22" s="162"/>
      <c r="I22" s="162"/>
      <c r="J22" s="162"/>
      <c r="K22" s="162"/>
      <c r="L22" s="162"/>
      <c r="M22" s="162"/>
      <c r="N22" s="162"/>
    </row>
    <row r="23" spans="2:18" ht="51">
      <c r="B23" s="238"/>
      <c r="C23" s="315" t="s">
        <v>332</v>
      </c>
      <c r="D23" s="527" t="s">
        <v>8</v>
      </c>
      <c r="E23" s="161"/>
      <c r="F23" s="161"/>
      <c r="G23" s="161"/>
      <c r="H23" s="161"/>
      <c r="I23" s="161"/>
      <c r="J23" s="161"/>
      <c r="K23" s="161"/>
      <c r="L23" s="161"/>
      <c r="M23" s="161"/>
      <c r="N23" s="161"/>
    </row>
    <row r="24" spans="2:18" ht="15" customHeight="1">
      <c r="B24" s="238"/>
      <c r="C24" s="241"/>
      <c r="D24" s="240"/>
      <c r="E24" s="161"/>
      <c r="F24" s="161"/>
      <c r="G24" s="161"/>
      <c r="H24" s="161"/>
      <c r="I24" s="161"/>
      <c r="J24" s="161"/>
      <c r="K24" s="161"/>
      <c r="L24" s="161"/>
      <c r="M24" s="161"/>
      <c r="N24" s="161"/>
    </row>
    <row r="25" spans="2:18" ht="153">
      <c r="B25" s="238" t="s">
        <v>278</v>
      </c>
      <c r="C25" s="239" t="s">
        <v>379</v>
      </c>
      <c r="D25" s="240"/>
      <c r="E25" s="159"/>
      <c r="F25" s="159"/>
      <c r="G25" s="159"/>
      <c r="H25" s="159"/>
      <c r="I25" s="159"/>
      <c r="J25" s="159"/>
      <c r="K25" s="159"/>
      <c r="L25" s="159"/>
      <c r="M25" s="159"/>
      <c r="N25" s="159"/>
    </row>
    <row r="26" spans="2:18">
      <c r="B26" s="238"/>
      <c r="C26" s="239"/>
      <c r="D26" s="240"/>
      <c r="E26" s="159"/>
      <c r="F26" s="159"/>
      <c r="G26" s="159"/>
      <c r="H26" s="159"/>
      <c r="I26" s="159"/>
      <c r="J26" s="159"/>
      <c r="K26" s="159"/>
      <c r="L26" s="159"/>
      <c r="M26" s="159"/>
      <c r="N26" s="159"/>
    </row>
    <row r="27" spans="2:18" ht="85">
      <c r="B27" s="238" t="s">
        <v>279</v>
      </c>
      <c r="C27" s="310" t="s">
        <v>333</v>
      </c>
      <c r="D27" s="242"/>
      <c r="E27" s="163"/>
      <c r="F27" s="163"/>
      <c r="G27" s="163"/>
      <c r="H27" s="163"/>
      <c r="I27" s="163"/>
      <c r="J27" s="163"/>
      <c r="K27" s="163"/>
      <c r="L27" s="163"/>
      <c r="M27" s="163"/>
      <c r="N27" s="163"/>
    </row>
    <row r="28" spans="2:18">
      <c r="B28" s="238"/>
      <c r="C28" s="310"/>
      <c r="D28" s="242"/>
      <c r="E28" s="163"/>
      <c r="F28" s="163"/>
      <c r="G28" s="163"/>
      <c r="H28" s="163"/>
      <c r="I28" s="163"/>
      <c r="J28" s="163"/>
      <c r="K28" s="163"/>
      <c r="L28" s="163"/>
      <c r="M28" s="163"/>
      <c r="N28" s="163"/>
    </row>
    <row r="29" spans="2:18" ht="34">
      <c r="B29" s="678" t="s">
        <v>405</v>
      </c>
      <c r="C29" s="315" t="s">
        <v>406</v>
      </c>
      <c r="D29" s="242"/>
      <c r="E29" s="163"/>
      <c r="F29" s="163"/>
      <c r="G29" s="163"/>
      <c r="H29" s="163"/>
      <c r="I29" s="163"/>
      <c r="J29" s="163"/>
      <c r="K29" s="163"/>
      <c r="L29" s="163"/>
      <c r="M29" s="163"/>
      <c r="N29" s="163"/>
    </row>
    <row r="30" spans="2:18">
      <c r="B30" s="235" t="s">
        <v>407</v>
      </c>
      <c r="C30" s="679" t="s">
        <v>402</v>
      </c>
      <c r="D30" s="242"/>
      <c r="E30" s="163"/>
      <c r="F30" s="163"/>
      <c r="G30" s="163"/>
      <c r="H30" s="163"/>
      <c r="I30" s="163"/>
      <c r="J30" s="163"/>
      <c r="K30" s="163"/>
      <c r="L30" s="163"/>
      <c r="M30" s="163"/>
      <c r="N30" s="163"/>
    </row>
    <row r="31" spans="2:18">
      <c r="B31" s="235" t="s">
        <v>408</v>
      </c>
      <c r="C31" s="679" t="s">
        <v>403</v>
      </c>
      <c r="D31" s="242"/>
      <c r="E31" s="163"/>
      <c r="F31" s="163"/>
      <c r="G31" s="163"/>
      <c r="H31" s="163"/>
      <c r="I31" s="163"/>
      <c r="J31" s="163"/>
      <c r="K31" s="163"/>
      <c r="L31" s="163"/>
      <c r="M31" s="163"/>
      <c r="N31" s="163"/>
    </row>
    <row r="32" spans="2:18">
      <c r="B32" s="235" t="s">
        <v>409</v>
      </c>
      <c r="C32" s="679" t="s">
        <v>404</v>
      </c>
      <c r="D32" s="242"/>
      <c r="E32" s="163"/>
      <c r="F32" s="163"/>
      <c r="G32" s="163"/>
      <c r="H32" s="163"/>
      <c r="I32" s="163"/>
      <c r="J32" s="163"/>
      <c r="K32" s="163"/>
      <c r="L32" s="163"/>
      <c r="M32" s="163"/>
      <c r="N32" s="163"/>
    </row>
    <row r="33" spans="2:14">
      <c r="B33" s="238"/>
      <c r="C33" s="310"/>
      <c r="D33" s="242"/>
      <c r="E33" s="163"/>
      <c r="F33" s="163"/>
      <c r="G33" s="163"/>
      <c r="H33" s="163"/>
      <c r="I33" s="163"/>
      <c r="J33" s="163"/>
      <c r="K33" s="163"/>
      <c r="L33" s="163"/>
      <c r="M33" s="163"/>
      <c r="N33" s="163"/>
    </row>
    <row r="34" spans="2:14" ht="68">
      <c r="B34" s="238" t="s">
        <v>416</v>
      </c>
      <c r="C34" s="239" t="s">
        <v>425</v>
      </c>
      <c r="D34" s="242"/>
      <c r="E34" s="163"/>
      <c r="F34" s="163"/>
      <c r="G34" s="163"/>
      <c r="H34" s="163"/>
      <c r="I34" s="163"/>
      <c r="J34" s="163"/>
      <c r="K34" s="163"/>
      <c r="L34" s="163"/>
      <c r="M34" s="163"/>
      <c r="N34" s="163"/>
    </row>
    <row r="35" spans="2:14" ht="17">
      <c r="B35" s="238"/>
      <c r="C35" s="693" t="s">
        <v>417</v>
      </c>
      <c r="D35" s="242"/>
      <c r="E35" s="163"/>
      <c r="F35" s="163"/>
      <c r="G35" s="163"/>
      <c r="H35" s="163"/>
      <c r="I35" s="163"/>
      <c r="J35" s="163"/>
      <c r="K35" s="163"/>
      <c r="L35" s="163"/>
      <c r="M35" s="163"/>
      <c r="N35" s="163"/>
    </row>
    <row r="36" spans="2:14" ht="17">
      <c r="B36" s="238"/>
      <c r="C36" s="693" t="s">
        <v>418</v>
      </c>
      <c r="D36" s="242"/>
      <c r="E36" s="163"/>
      <c r="F36" s="163"/>
      <c r="G36" s="163"/>
      <c r="H36" s="163"/>
      <c r="I36" s="163"/>
      <c r="J36" s="163"/>
      <c r="K36" s="163"/>
      <c r="L36" s="163"/>
      <c r="M36" s="163"/>
      <c r="N36" s="163"/>
    </row>
    <row r="37" spans="2:14" ht="17">
      <c r="B37" s="238"/>
      <c r="C37" s="693" t="s">
        <v>419</v>
      </c>
      <c r="D37" s="242"/>
      <c r="E37" s="163"/>
      <c r="F37" s="163"/>
      <c r="G37" s="163"/>
      <c r="H37" s="163"/>
      <c r="I37" s="163"/>
      <c r="J37" s="163"/>
      <c r="K37" s="163"/>
      <c r="L37" s="163"/>
      <c r="M37" s="163"/>
      <c r="N37" s="163"/>
    </row>
    <row r="38" spans="2:14" ht="17">
      <c r="B38" s="238"/>
      <c r="C38" s="693" t="s">
        <v>420</v>
      </c>
      <c r="D38" s="242"/>
      <c r="E38" s="163"/>
      <c r="F38" s="163"/>
      <c r="G38" s="163"/>
      <c r="H38" s="163"/>
      <c r="I38" s="163"/>
      <c r="J38" s="163"/>
      <c r="K38" s="163"/>
      <c r="L38" s="163"/>
      <c r="M38" s="163"/>
      <c r="N38" s="163"/>
    </row>
    <row r="39" spans="2:14" ht="17">
      <c r="B39" s="238"/>
      <c r="C39" s="693" t="s">
        <v>421</v>
      </c>
      <c r="D39" s="242"/>
      <c r="E39" s="163"/>
      <c r="F39" s="163"/>
      <c r="G39" s="163"/>
      <c r="H39" s="163"/>
      <c r="I39" s="163"/>
      <c r="J39" s="163"/>
      <c r="K39" s="163"/>
      <c r="L39" s="163"/>
      <c r="M39" s="163"/>
      <c r="N39" s="163"/>
    </row>
    <row r="40" spans="2:14" ht="17">
      <c r="B40" s="238"/>
      <c r="C40" s="693" t="s">
        <v>422</v>
      </c>
      <c r="D40" s="242"/>
      <c r="E40" s="163"/>
      <c r="F40" s="163"/>
      <c r="G40" s="163"/>
      <c r="H40" s="163"/>
      <c r="I40" s="163"/>
      <c r="J40" s="163"/>
      <c r="K40" s="163"/>
      <c r="L40" s="163"/>
      <c r="M40" s="163"/>
      <c r="N40" s="163"/>
    </row>
    <row r="41" spans="2:14" ht="17">
      <c r="B41" s="238"/>
      <c r="C41" s="693" t="s">
        <v>423</v>
      </c>
      <c r="D41" s="242"/>
      <c r="E41" s="163"/>
      <c r="F41" s="163"/>
      <c r="G41" s="163"/>
      <c r="H41" s="163"/>
      <c r="I41" s="163"/>
      <c r="J41" s="163"/>
      <c r="K41" s="163"/>
      <c r="L41" s="163"/>
      <c r="M41" s="163"/>
      <c r="N41" s="163"/>
    </row>
    <row r="42" spans="2:14" ht="17">
      <c r="B42" s="238"/>
      <c r="C42" s="693" t="s">
        <v>424</v>
      </c>
      <c r="D42" s="242"/>
      <c r="E42" s="163"/>
      <c r="F42" s="163"/>
      <c r="G42" s="163"/>
      <c r="H42" s="163"/>
      <c r="I42" s="163"/>
      <c r="J42" s="163"/>
      <c r="K42" s="163"/>
      <c r="L42" s="163"/>
      <c r="M42" s="163"/>
      <c r="N42" s="163"/>
    </row>
    <row r="43" spans="2:14" ht="17" thickBot="1">
      <c r="B43" s="243"/>
      <c r="C43" s="244"/>
      <c r="D43" s="245"/>
      <c r="E43" s="158"/>
      <c r="F43" s="158"/>
      <c r="G43" s="158"/>
      <c r="H43" s="158"/>
      <c r="I43" s="158"/>
      <c r="J43" s="158"/>
      <c r="K43" s="158"/>
      <c r="L43" s="158"/>
      <c r="M43" s="158"/>
      <c r="N43" s="158"/>
    </row>
  </sheetData>
  <sheetProtection password="CA95" sheet="1" objects="1" scenarios="1"/>
  <hyperlinks>
    <hyperlink ref="C30" r:id="rId1" xr:uid="{00000000-0004-0000-0000-000000000000}"/>
    <hyperlink ref="C31" r:id="rId2" xr:uid="{00000000-0004-0000-0000-000001000000}"/>
    <hyperlink ref="C32" r:id="rId3" xr:uid="{00000000-0004-0000-0000-000002000000}"/>
    <hyperlink ref="C10" r:id="rId4" xr:uid="{00000000-0004-0000-0000-000003000000}"/>
    <hyperlink ref="C13" r:id="rId5" xr:uid="{00000000-0004-0000-0000-000004000000}"/>
  </hyperlinks>
  <pageMargins left="0.7" right="0.7" top="0.75" bottom="0.75" header="0.3" footer="0.3"/>
  <pageSetup scale="54" orientation="portrait" horizontalDpi="4294967293" verticalDpi="0" r:id="rId6"/>
  <legacyDrawing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C104"/>
  <sheetViews>
    <sheetView showGridLines="0" zoomScale="70" zoomScaleNormal="70" workbookViewId="0">
      <pane ySplit="4" topLeftCell="A5" activePane="bottomLeft" state="frozen"/>
      <selection pane="bottomLeft" activeCell="W63" sqref="W63"/>
    </sheetView>
  </sheetViews>
  <sheetFormatPr baseColWidth="10" defaultColWidth="9.1640625" defaultRowHeight="16"/>
  <cols>
    <col min="1" max="1" width="1.6640625" style="1" customWidth="1"/>
    <col min="2" max="2" width="1" style="1" customWidth="1"/>
    <col min="3" max="3" width="7.6640625" style="1" customWidth="1"/>
    <col min="4" max="4" width="1" style="1" customWidth="1"/>
    <col min="5" max="5" width="54" style="1" customWidth="1"/>
    <col min="6" max="6" width="13.5" style="1" customWidth="1"/>
    <col min="7" max="7" width="19.1640625" style="1" bestFit="1" customWidth="1"/>
    <col min="8" max="8" width="0.83203125" style="1" customWidth="1"/>
    <col min="9" max="9" width="6.6640625" style="1" customWidth="1"/>
    <col min="10" max="11" width="1.83203125" style="1" customWidth="1"/>
    <col min="12" max="12" width="1.1640625" style="1" customWidth="1"/>
    <col min="13" max="13" width="7.6640625" style="1" customWidth="1"/>
    <col min="14" max="14" width="1" style="1" customWidth="1"/>
    <col min="15" max="15" width="55.5" style="1" customWidth="1"/>
    <col min="16" max="16" width="19" style="1" customWidth="1"/>
    <col min="17" max="17" width="24.33203125" style="1" customWidth="1"/>
    <col min="18" max="18" width="0.83203125" style="1" customWidth="1"/>
    <col min="19" max="19" width="6.83203125" style="1" customWidth="1"/>
    <col min="20" max="20" width="11.1640625" style="1" customWidth="1"/>
    <col min="21" max="26" width="19.1640625" style="1" customWidth="1"/>
    <col min="27" max="27" width="0.83203125" style="1" customWidth="1"/>
    <col min="28" max="16384" width="9.1640625" style="1"/>
  </cols>
  <sheetData>
    <row r="1" spans="2:28" ht="7.5" customHeight="1" thickBot="1">
      <c r="B1" s="93"/>
    </row>
    <row r="2" spans="2:28" s="330" customFormat="1" ht="30" customHeight="1" thickBot="1">
      <c r="B2" s="503"/>
      <c r="C2" s="734" t="s">
        <v>254</v>
      </c>
      <c r="D2" s="734"/>
      <c r="E2" s="734"/>
      <c r="F2" s="734"/>
      <c r="G2" s="734"/>
      <c r="H2" s="734"/>
      <c r="I2" s="734"/>
      <c r="J2" s="734"/>
      <c r="K2" s="734"/>
      <c r="L2" s="735"/>
      <c r="M2" s="735"/>
      <c r="N2" s="735"/>
      <c r="O2" s="735"/>
      <c r="P2" s="735"/>
      <c r="Q2" s="735"/>
      <c r="R2" s="735"/>
      <c r="S2" s="735"/>
      <c r="T2" s="735"/>
      <c r="U2" s="410"/>
      <c r="V2" s="411"/>
      <c r="W2" s="411"/>
      <c r="X2" s="411"/>
      <c r="Y2" s="411"/>
      <c r="Z2" s="411"/>
      <c r="AA2" s="411"/>
      <c r="AB2" s="412"/>
    </row>
    <row r="3" spans="2:28" ht="7.5" customHeight="1">
      <c r="B3" s="12"/>
      <c r="C3" s="346"/>
      <c r="D3" s="346"/>
      <c r="E3" s="346"/>
      <c r="F3" s="346"/>
      <c r="G3" s="346"/>
      <c r="H3" s="346"/>
      <c r="I3" s="346"/>
      <c r="J3" s="346"/>
      <c r="K3" s="425"/>
      <c r="L3" s="345"/>
      <c r="M3" s="346"/>
      <c r="N3" s="346"/>
      <c r="O3" s="346"/>
      <c r="P3" s="346"/>
      <c r="Q3" s="346"/>
      <c r="R3" s="346"/>
      <c r="S3" s="346"/>
      <c r="T3" s="346"/>
      <c r="U3" s="346"/>
      <c r="V3" s="347"/>
      <c r="W3" s="347"/>
      <c r="X3" s="347"/>
      <c r="Y3" s="347"/>
      <c r="Z3" s="347"/>
      <c r="AA3" s="347"/>
      <c r="AB3" s="377"/>
    </row>
    <row r="4" spans="2:28" ht="19" thickBot="1">
      <c r="B4" s="12"/>
      <c r="C4" s="491" t="s">
        <v>19</v>
      </c>
      <c r="D4" s="17"/>
      <c r="F4" s="18"/>
      <c r="H4" s="480"/>
      <c r="I4" s="504" t="s">
        <v>18</v>
      </c>
      <c r="K4" s="426"/>
      <c r="L4" s="378"/>
      <c r="M4" s="491" t="s">
        <v>19</v>
      </c>
      <c r="N4" s="18"/>
      <c r="O4" s="733" t="s">
        <v>14</v>
      </c>
      <c r="P4" s="733"/>
      <c r="Q4" s="510"/>
      <c r="R4" s="18"/>
      <c r="S4" s="491" t="s">
        <v>18</v>
      </c>
      <c r="T4" s="481"/>
      <c r="U4" s="17"/>
      <c r="AB4" s="329"/>
    </row>
    <row r="5" spans="2:28" ht="19" thickBot="1">
      <c r="B5" s="505"/>
      <c r="C5" s="347"/>
      <c r="D5" s="347"/>
      <c r="E5" s="24"/>
      <c r="F5" s="19"/>
      <c r="G5" s="23"/>
      <c r="H5" s="506"/>
      <c r="I5" s="507"/>
      <c r="J5" s="508"/>
      <c r="K5" s="18"/>
      <c r="L5" s="505"/>
      <c r="M5" s="347"/>
      <c r="N5" s="347"/>
      <c r="O5" s="347"/>
      <c r="P5" s="347"/>
      <c r="Q5" s="347"/>
      <c r="R5" s="347"/>
      <c r="S5" s="347"/>
      <c r="T5" s="347"/>
      <c r="U5" s="347"/>
      <c r="V5" s="347"/>
      <c r="W5" s="347"/>
      <c r="X5" s="347"/>
      <c r="Y5" s="347"/>
      <c r="Z5" s="347"/>
      <c r="AA5" s="347"/>
      <c r="AB5" s="377"/>
    </row>
    <row r="6" spans="2:28" ht="17" thickBot="1">
      <c r="B6" s="12"/>
      <c r="E6" s="2" t="s">
        <v>15</v>
      </c>
      <c r="F6" s="431" t="s">
        <v>302</v>
      </c>
      <c r="G6" s="501" t="s">
        <v>337</v>
      </c>
      <c r="H6" s="80"/>
      <c r="I6" s="20"/>
      <c r="J6" s="492"/>
      <c r="K6" s="18"/>
      <c r="L6" s="12"/>
      <c r="O6" s="2" t="s">
        <v>411</v>
      </c>
      <c r="P6" s="431" t="s">
        <v>302</v>
      </c>
      <c r="Q6" s="501" t="s">
        <v>337</v>
      </c>
      <c r="AB6" s="329"/>
    </row>
    <row r="7" spans="2:28">
      <c r="B7" s="12"/>
      <c r="C7" s="400"/>
      <c r="E7" s="551" t="s">
        <v>29</v>
      </c>
      <c r="F7" s="544" t="s">
        <v>341</v>
      </c>
      <c r="G7" s="569">
        <v>10000</v>
      </c>
      <c r="H7" s="349"/>
      <c r="I7" s="14" t="s">
        <v>8</v>
      </c>
      <c r="J7" s="493"/>
      <c r="K7" s="18"/>
      <c r="L7" s="12"/>
      <c r="M7" s="459"/>
      <c r="N7" s="1">
        <f>IF(OR(Q7&lt;=0,Q7&gt;G11),1,0)</f>
        <v>0</v>
      </c>
      <c r="O7" s="551" t="s">
        <v>437</v>
      </c>
      <c r="P7" s="544" t="s">
        <v>4</v>
      </c>
      <c r="Q7" s="573">
        <v>20</v>
      </c>
      <c r="R7" s="352"/>
      <c r="S7" s="14" t="s">
        <v>8</v>
      </c>
      <c r="T7" s="424"/>
      <c r="AB7" s="329"/>
    </row>
    <row r="8" spans="2:28">
      <c r="B8" s="12"/>
      <c r="C8" s="458"/>
      <c r="D8" s="1">
        <f>IF(OR(G8&lt;=0,G8&gt;1),1,0)</f>
        <v>0</v>
      </c>
      <c r="E8" s="546" t="s">
        <v>281</v>
      </c>
      <c r="F8" s="7" t="s">
        <v>1</v>
      </c>
      <c r="G8" s="570">
        <v>0.32</v>
      </c>
      <c r="H8" s="350"/>
      <c r="I8" s="14" t="s">
        <v>8</v>
      </c>
      <c r="J8" s="493"/>
      <c r="K8" s="18"/>
      <c r="L8" s="12"/>
      <c r="M8" s="400"/>
      <c r="O8" s="557" t="s">
        <v>215</v>
      </c>
      <c r="P8" s="7" t="s">
        <v>1</v>
      </c>
      <c r="Q8" s="570">
        <v>0</v>
      </c>
      <c r="R8" s="350"/>
      <c r="S8" s="14" t="s">
        <v>8</v>
      </c>
      <c r="T8" s="424"/>
      <c r="AB8" s="329"/>
    </row>
    <row r="9" spans="2:28" ht="17" thickBot="1">
      <c r="B9" s="12"/>
      <c r="C9" s="365"/>
      <c r="E9" s="546" t="s">
        <v>289</v>
      </c>
      <c r="F9" s="8" t="s">
        <v>2</v>
      </c>
      <c r="G9" s="571">
        <f>$G$7*$G$8*8760</f>
        <v>28032000</v>
      </c>
      <c r="H9" s="351"/>
      <c r="I9" s="14" t="s">
        <v>8</v>
      </c>
      <c r="J9" s="493"/>
      <c r="K9" s="18"/>
      <c r="L9" s="12"/>
      <c r="M9" s="399"/>
      <c r="O9" s="554" t="s">
        <v>412</v>
      </c>
      <c r="P9" s="560" t="s">
        <v>1</v>
      </c>
      <c r="Q9" s="603">
        <v>0</v>
      </c>
      <c r="R9" s="350"/>
      <c r="S9" s="14" t="s">
        <v>8</v>
      </c>
      <c r="T9" s="424"/>
      <c r="U9" s="18"/>
      <c r="AB9" s="329"/>
    </row>
    <row r="10" spans="2:28" ht="17" thickBot="1">
      <c r="B10" s="12"/>
      <c r="C10" s="457"/>
      <c r="D10" s="1">
        <f>IF(OR(G10&lt;0,G10&gt;1),1,0)</f>
        <v>0</v>
      </c>
      <c r="E10" s="547" t="s">
        <v>214</v>
      </c>
      <c r="F10" s="7" t="s">
        <v>1</v>
      </c>
      <c r="G10" s="570">
        <v>5.0000000000000001E-3</v>
      </c>
      <c r="H10" s="350"/>
      <c r="I10" s="14" t="s">
        <v>8</v>
      </c>
      <c r="J10" s="493"/>
      <c r="K10" s="18"/>
      <c r="L10" s="378"/>
      <c r="M10" s="18"/>
      <c r="N10" s="18"/>
      <c r="O10" s="18"/>
      <c r="P10" s="18"/>
      <c r="Q10" s="18"/>
      <c r="R10" s="18"/>
      <c r="S10" s="18"/>
      <c r="T10" s="18"/>
      <c r="U10" s="252"/>
      <c r="V10" s="252"/>
      <c r="W10" s="252"/>
      <c r="X10" s="252"/>
      <c r="Y10" s="252"/>
      <c r="Z10" s="252"/>
      <c r="AB10" s="329"/>
    </row>
    <row r="11" spans="2:28" ht="17" thickBot="1">
      <c r="B11" s="12"/>
      <c r="C11" s="459"/>
      <c r="D11" s="1">
        <f>IF(OR(G11&lt;1,G11&gt;30),1,0)</f>
        <v>0</v>
      </c>
      <c r="E11" s="567" t="s">
        <v>226</v>
      </c>
      <c r="F11" s="560" t="s">
        <v>4</v>
      </c>
      <c r="G11" s="572">
        <v>20</v>
      </c>
      <c r="H11" s="352"/>
      <c r="I11" s="14" t="s">
        <v>8</v>
      </c>
      <c r="J11" s="493"/>
      <c r="K11" s="18"/>
      <c r="L11" s="378"/>
      <c r="O11" s="2" t="s">
        <v>427</v>
      </c>
      <c r="P11" s="3"/>
      <c r="Q11" s="4"/>
      <c r="R11" s="18"/>
      <c r="S11" s="14" t="s">
        <v>8</v>
      </c>
      <c r="T11" s="224"/>
      <c r="U11" s="247"/>
      <c r="V11" s="247"/>
      <c r="W11" s="247"/>
      <c r="X11" s="247"/>
      <c r="Y11" s="247"/>
      <c r="Z11" s="247"/>
      <c r="AB11" s="329"/>
    </row>
    <row r="12" spans="2:28" ht="17" thickBot="1">
      <c r="B12" s="12"/>
      <c r="G12" s="20"/>
      <c r="H12" s="20"/>
      <c r="I12" s="16"/>
      <c r="J12" s="493"/>
      <c r="K12" s="18"/>
      <c r="L12" s="378"/>
      <c r="M12" s="457"/>
      <c r="O12" s="604" t="s">
        <v>265</v>
      </c>
      <c r="P12" s="605"/>
      <c r="Q12" s="606" t="s">
        <v>323</v>
      </c>
      <c r="S12" s="429" t="s">
        <v>8</v>
      </c>
      <c r="T12" s="430">
        <f>IF(Q7&lt;G11,1,0)</f>
        <v>0</v>
      </c>
      <c r="Y12" s="224"/>
      <c r="Z12" s="224"/>
      <c r="AB12" s="329"/>
    </row>
    <row r="13" spans="2:28" ht="17" thickBot="1">
      <c r="B13" s="12"/>
      <c r="E13" s="10" t="s">
        <v>163</v>
      </c>
      <c r="F13" s="431" t="s">
        <v>302</v>
      </c>
      <c r="G13" s="501" t="s">
        <v>337</v>
      </c>
      <c r="H13" s="363"/>
      <c r="I13" s="16"/>
      <c r="J13" s="493"/>
      <c r="K13" s="18"/>
      <c r="L13" s="378"/>
      <c r="M13" s="457"/>
      <c r="N13" s="1">
        <f>IF(OR(Q13&lt;=0,Q13=""),1,0)</f>
        <v>0</v>
      </c>
      <c r="O13" s="607" t="s">
        <v>227</v>
      </c>
      <c r="P13" s="427" t="s">
        <v>53</v>
      </c>
      <c r="Q13" s="608">
        <v>5</v>
      </c>
      <c r="S13" s="429" t="s">
        <v>8</v>
      </c>
      <c r="T13" s="430">
        <f>IF(AND($Q$7&lt;$G$11,$Q$12="Year One"),1,0)</f>
        <v>0</v>
      </c>
      <c r="Y13" s="224"/>
      <c r="Z13" s="224"/>
      <c r="AB13" s="329"/>
    </row>
    <row r="14" spans="2:28" ht="17" thickBot="1">
      <c r="B14" s="12"/>
      <c r="C14" s="401"/>
      <c r="E14" s="530" t="s">
        <v>9</v>
      </c>
      <c r="F14" s="531"/>
      <c r="G14" s="532" t="s">
        <v>436</v>
      </c>
      <c r="H14" s="361"/>
      <c r="I14" s="14" t="s">
        <v>8</v>
      </c>
      <c r="J14" s="493"/>
      <c r="K14" s="18"/>
      <c r="L14" s="378"/>
      <c r="M14" s="457"/>
      <c r="N14" s="1">
        <f>IF(OR(Q14&lt;=0,Q14=""),1,0)</f>
        <v>0</v>
      </c>
      <c r="O14" s="609" t="s">
        <v>228</v>
      </c>
      <c r="P14" s="428" t="s">
        <v>1</v>
      </c>
      <c r="Q14" s="610">
        <v>0.03</v>
      </c>
      <c r="S14" s="456" t="s">
        <v>8</v>
      </c>
      <c r="T14" s="430">
        <f>IF(AND($Q$7&lt;$G$11,$Q$12="Year One"),1,0)</f>
        <v>0</v>
      </c>
      <c r="Y14" s="224"/>
      <c r="Z14" s="224"/>
      <c r="AB14" s="329"/>
    </row>
    <row r="15" spans="2:28" ht="17" thickBot="1">
      <c r="B15" s="12"/>
      <c r="C15" s="402"/>
      <c r="E15" s="533" t="s">
        <v>139</v>
      </c>
      <c r="F15" s="534" t="s">
        <v>358</v>
      </c>
      <c r="G15" s="535">
        <v>2500</v>
      </c>
      <c r="H15" s="353"/>
      <c r="I15" s="452" t="s">
        <v>8</v>
      </c>
      <c r="J15" s="494"/>
      <c r="K15" s="18"/>
      <c r="L15" s="378"/>
      <c r="O15" s="611" t="str">
        <f>IF(OR($Q$12="Year One",$Q$7=$G$11),"","Click Here for Complex Input Worksheet")</f>
        <v/>
      </c>
      <c r="P15" s="612"/>
      <c r="Q15" s="613"/>
      <c r="S15" s="452" t="s">
        <v>8</v>
      </c>
      <c r="T15" s="430">
        <f>IF(AND($Q$7&lt;$G$11,$Q$12="Year-by-Year"),1,0)</f>
        <v>0</v>
      </c>
      <c r="U15" s="224"/>
      <c r="V15" s="224"/>
      <c r="W15" s="224"/>
      <c r="X15" s="224"/>
      <c r="Y15" s="224"/>
      <c r="Z15" s="224"/>
      <c r="AB15" s="329"/>
    </row>
    <row r="16" spans="2:28" ht="17" thickBot="1">
      <c r="B16" s="12"/>
      <c r="C16" s="403"/>
      <c r="E16" s="536" t="s">
        <v>164</v>
      </c>
      <c r="F16" s="427" t="s">
        <v>0</v>
      </c>
      <c r="G16" s="537">
        <v>10000000</v>
      </c>
      <c r="H16" s="354"/>
      <c r="I16" s="452" t="s">
        <v>8</v>
      </c>
      <c r="J16" s="493"/>
      <c r="K16" s="18"/>
      <c r="L16" s="378"/>
      <c r="T16" s="248"/>
      <c r="Y16" s="224"/>
      <c r="Z16" s="224"/>
      <c r="AB16" s="329"/>
    </row>
    <row r="17" spans="2:28" ht="17" thickBot="1">
      <c r="B17" s="12"/>
      <c r="C17" s="464"/>
      <c r="E17" s="536" t="s">
        <v>166</v>
      </c>
      <c r="F17" s="427" t="s">
        <v>0</v>
      </c>
      <c r="G17" s="537">
        <v>9000000</v>
      </c>
      <c r="H17" s="354"/>
      <c r="I17" s="452" t="s">
        <v>8</v>
      </c>
      <c r="J17" s="493"/>
      <c r="K17" s="18"/>
      <c r="L17" s="378"/>
      <c r="O17" s="5" t="s">
        <v>25</v>
      </c>
      <c r="P17" s="431" t="s">
        <v>302</v>
      </c>
      <c r="Q17" s="501" t="s">
        <v>337</v>
      </c>
      <c r="R17" s="150"/>
      <c r="S17" s="16"/>
      <c r="T17" s="248"/>
      <c r="AB17" s="329"/>
    </row>
    <row r="18" spans="2:28">
      <c r="B18" s="12"/>
      <c r="C18" s="464"/>
      <c r="E18" s="538" t="s">
        <v>167</v>
      </c>
      <c r="F18" s="427" t="s">
        <v>0</v>
      </c>
      <c r="G18" s="537">
        <v>3000000</v>
      </c>
      <c r="H18" s="354"/>
      <c r="I18" s="452" t="s">
        <v>8</v>
      </c>
      <c r="J18" s="493"/>
      <c r="K18" s="18"/>
      <c r="L18" s="378"/>
      <c r="M18" s="462"/>
      <c r="O18" s="685" t="s">
        <v>458</v>
      </c>
      <c r="P18" s="686"/>
      <c r="Q18" s="687" t="s">
        <v>380</v>
      </c>
      <c r="R18" s="430">
        <f>IF(OR($Q$18="Cost-Based",$Q$18="Neither"),1,0)</f>
        <v>1</v>
      </c>
      <c r="S18" s="14" t="s">
        <v>8</v>
      </c>
      <c r="T18" s="454">
        <f>IF(OR($Q$18="Performance-Based",$Q$18="Neither"),1,0)</f>
        <v>0</v>
      </c>
      <c r="AB18" s="329"/>
    </row>
    <row r="19" spans="2:28">
      <c r="B19" s="12"/>
      <c r="C19" s="464"/>
      <c r="E19" s="538" t="s">
        <v>168</v>
      </c>
      <c r="F19" s="427" t="s">
        <v>0</v>
      </c>
      <c r="G19" s="537">
        <v>1000000</v>
      </c>
      <c r="H19" s="354"/>
      <c r="I19" s="452" t="s">
        <v>8</v>
      </c>
      <c r="J19" s="493"/>
      <c r="K19" s="18"/>
      <c r="L19" s="378"/>
      <c r="M19" s="462"/>
      <c r="O19" s="547" t="s">
        <v>314</v>
      </c>
      <c r="P19" s="7"/>
      <c r="Q19" s="713" t="s">
        <v>456</v>
      </c>
      <c r="R19" s="18"/>
      <c r="S19" s="14" t="s">
        <v>8</v>
      </c>
      <c r="T19" s="18"/>
      <c r="AB19" s="329"/>
    </row>
    <row r="20" spans="2:28">
      <c r="B20" s="12"/>
      <c r="C20" s="404"/>
      <c r="E20" s="538" t="s">
        <v>100</v>
      </c>
      <c r="F20" s="427" t="s">
        <v>0</v>
      </c>
      <c r="G20" s="539">
        <f>($G$50*$G$47*SUM($G$16:$G$19)+$G$44+$G$60+$Q$66+$Q$69)</f>
        <v>1607906.6212895242</v>
      </c>
      <c r="H20" s="355"/>
      <c r="I20" s="452" t="s">
        <v>8</v>
      </c>
      <c r="J20" s="493"/>
      <c r="K20" s="18"/>
      <c r="L20" s="378"/>
      <c r="M20" s="462"/>
      <c r="N20" s="1">
        <f>IF(OR(Q20&lt;0,Q20&gt;1,Q20=""),1,0)</f>
        <v>0</v>
      </c>
      <c r="O20" s="564" t="s">
        <v>236</v>
      </c>
      <c r="P20" s="6" t="s">
        <v>1</v>
      </c>
      <c r="Q20" s="615">
        <v>0.3</v>
      </c>
      <c r="R20" s="18"/>
      <c r="S20" s="14" t="s">
        <v>8</v>
      </c>
      <c r="T20" s="18"/>
      <c r="AB20" s="329"/>
    </row>
    <row r="21" spans="2:28" ht="17" thickBot="1">
      <c r="B21" s="12"/>
      <c r="C21" s="404"/>
      <c r="E21" s="540" t="s">
        <v>318</v>
      </c>
      <c r="F21" s="541" t="str">
        <f>IF($G$14="Complex","$","")</f>
        <v/>
      </c>
      <c r="G21" s="542" t="str">
        <f>IF($G$14="Complex",'Complex Inputs'!$C$121,"")</f>
        <v/>
      </c>
      <c r="H21" s="356"/>
      <c r="I21" s="452" t="s">
        <v>8</v>
      </c>
      <c r="J21" s="493"/>
      <c r="K21" s="18"/>
      <c r="L21" s="12"/>
      <c r="N21" s="731">
        <f>IF(OR(Q21&lt;0,Q21&gt;1,Q21=""),1,0)</f>
        <v>0</v>
      </c>
      <c r="O21" s="564" t="s">
        <v>17</v>
      </c>
      <c r="P21" s="6" t="s">
        <v>1</v>
      </c>
      <c r="Q21" s="615">
        <v>1</v>
      </c>
      <c r="AB21" s="329"/>
    </row>
    <row r="22" spans="2:28" ht="17" thickBot="1">
      <c r="B22" s="12"/>
      <c r="C22" s="405"/>
      <c r="E22" s="543" t="s">
        <v>434</v>
      </c>
      <c r="F22" s="544" t="s">
        <v>0</v>
      </c>
      <c r="G22" s="545">
        <f>IF($G$14="Simple",($G$15*$G$7),IF($G$14="Intermediate",SUM($G$16:$G$20),IF($G$14="Complex",$G$21,0)))</f>
        <v>25000000</v>
      </c>
      <c r="H22" s="356"/>
      <c r="I22" s="14" t="s">
        <v>8</v>
      </c>
      <c r="J22" s="493"/>
      <c r="K22" s="18"/>
      <c r="L22" s="378"/>
      <c r="O22" s="567" t="s">
        <v>137</v>
      </c>
      <c r="P22" s="555" t="s">
        <v>0</v>
      </c>
      <c r="Q22" s="624">
        <f>IF($G$69="Yes",IF($Q$19="ITC",IF($G$14="Complex",'Complex Inputs'!$D$121,'Cash Flow'!$C$99)*Inputs!$Q$20*Inputs!$Q$21,IF($Q$19="Cash Grant",IF($G$14="Complex",'Complex Inputs'!$D$121,'Cash Flow'!$C$99)*Inputs!$Q$20,0)),0)</f>
        <v>7050000</v>
      </c>
      <c r="R22" s="151"/>
      <c r="S22" s="14" t="s">
        <v>8</v>
      </c>
      <c r="AB22" s="329"/>
    </row>
    <row r="23" spans="2:28" ht="17" thickBot="1">
      <c r="B23" s="12"/>
      <c r="C23" s="405"/>
      <c r="E23" s="698" t="s">
        <v>434</v>
      </c>
      <c r="F23" s="549" t="str">
        <f>F15</f>
        <v>$/kW</v>
      </c>
      <c r="G23" s="550">
        <f>G22/G7</f>
        <v>2500</v>
      </c>
      <c r="H23" s="364"/>
      <c r="I23" s="14" t="s">
        <v>8</v>
      </c>
      <c r="J23" s="493"/>
      <c r="K23" s="18"/>
      <c r="L23" s="378"/>
      <c r="M23" s="462"/>
      <c r="O23" s="562" t="s">
        <v>316</v>
      </c>
      <c r="P23" s="625"/>
      <c r="Q23" s="614" t="s">
        <v>435</v>
      </c>
      <c r="S23" s="14" t="s">
        <v>8</v>
      </c>
      <c r="AB23" s="329"/>
    </row>
    <row r="24" spans="2:28" ht="17" thickBot="1">
      <c r="B24" s="12"/>
      <c r="C24" s="406"/>
      <c r="E24" s="21"/>
      <c r="F24" s="13"/>
      <c r="G24" s="13"/>
      <c r="I24" s="20"/>
      <c r="J24" s="493"/>
      <c r="K24" s="18"/>
      <c r="L24" s="378"/>
      <c r="M24" s="457"/>
      <c r="O24" s="557" t="s">
        <v>141</v>
      </c>
      <c r="P24" s="258" t="s">
        <v>53</v>
      </c>
      <c r="Q24" s="617">
        <v>2.2999999999999998</v>
      </c>
      <c r="R24" s="18"/>
      <c r="S24" s="14" t="s">
        <v>8</v>
      </c>
      <c r="AB24" s="329"/>
    </row>
    <row r="25" spans="2:28" ht="17" thickBot="1">
      <c r="B25" s="12"/>
      <c r="E25" s="5" t="s">
        <v>10</v>
      </c>
      <c r="F25" s="431" t="s">
        <v>302</v>
      </c>
      <c r="G25" s="501" t="s">
        <v>337</v>
      </c>
      <c r="H25" s="365"/>
      <c r="I25" s="20"/>
      <c r="J25" s="493"/>
      <c r="K25" s="18"/>
      <c r="L25" s="12"/>
      <c r="N25" s="1">
        <f>IF(OR(Q25&lt;0,Q25&gt;1),1,0)</f>
        <v>0</v>
      </c>
      <c r="O25" s="557" t="s">
        <v>381</v>
      </c>
      <c r="P25" s="6" t="s">
        <v>1</v>
      </c>
      <c r="Q25" s="600">
        <v>1</v>
      </c>
      <c r="T25" s="18"/>
      <c r="AB25" s="329"/>
    </row>
    <row r="26" spans="2:28" ht="17" thickBot="1">
      <c r="B26" s="12"/>
      <c r="C26" s="401"/>
      <c r="E26" s="668" t="s">
        <v>9</v>
      </c>
      <c r="F26" s="669"/>
      <c r="G26" s="670" t="s">
        <v>464</v>
      </c>
      <c r="H26" s="361"/>
      <c r="I26" s="14" t="s">
        <v>8</v>
      </c>
      <c r="J26" s="493"/>
      <c r="K26" s="18"/>
      <c r="L26" s="378"/>
      <c r="M26" s="457"/>
      <c r="N26" s="1">
        <f>IF(OR(Q26&lt;0,Q26&gt;G11),1,0)</f>
        <v>0</v>
      </c>
      <c r="O26" s="557" t="s">
        <v>33</v>
      </c>
      <c r="P26" s="22" t="s">
        <v>32</v>
      </c>
      <c r="Q26" s="558">
        <v>10</v>
      </c>
      <c r="R26" s="18"/>
      <c r="S26" s="14" t="s">
        <v>8</v>
      </c>
      <c r="AB26" s="329"/>
    </row>
    <row r="27" spans="2:28" ht="17" thickBot="1">
      <c r="B27" s="12"/>
      <c r="C27" s="407"/>
      <c r="E27" s="551" t="s">
        <v>225</v>
      </c>
      <c r="F27" s="552" t="s">
        <v>340</v>
      </c>
      <c r="G27" s="553">
        <v>0</v>
      </c>
      <c r="H27" s="366"/>
      <c r="I27" s="14" t="s">
        <v>8</v>
      </c>
      <c r="J27" s="493"/>
      <c r="K27" s="18"/>
      <c r="L27" s="378"/>
      <c r="M27" s="457"/>
      <c r="O27" s="557" t="s">
        <v>146</v>
      </c>
      <c r="P27" s="6" t="s">
        <v>1</v>
      </c>
      <c r="Q27" s="600">
        <v>0.02</v>
      </c>
      <c r="R27" s="18"/>
      <c r="S27" s="14" t="s">
        <v>8</v>
      </c>
      <c r="T27" s="18"/>
      <c r="AB27" s="329"/>
    </row>
    <row r="28" spans="2:28">
      <c r="B28" s="12"/>
      <c r="C28" s="457"/>
      <c r="E28" s="547" t="s">
        <v>101</v>
      </c>
      <c r="F28" s="7" t="s">
        <v>102</v>
      </c>
      <c r="G28" s="617">
        <v>2.5</v>
      </c>
      <c r="H28" s="367"/>
      <c r="I28" s="14" t="s">
        <v>8</v>
      </c>
      <c r="J28" s="493"/>
      <c r="K28" s="18"/>
      <c r="L28" s="378"/>
      <c r="M28" s="457"/>
      <c r="O28" s="619" t="s">
        <v>457</v>
      </c>
      <c r="P28" s="620" t="s">
        <v>0</v>
      </c>
      <c r="Q28" s="621">
        <v>0</v>
      </c>
      <c r="R28" s="151"/>
      <c r="S28" s="14" t="s">
        <v>8</v>
      </c>
      <c r="T28" s="18"/>
      <c r="AB28" s="329"/>
    </row>
    <row r="29" spans="2:28" ht="17" thickBot="1">
      <c r="B29" s="12"/>
      <c r="C29" s="408"/>
      <c r="D29" s="18"/>
      <c r="E29" s="574" t="s">
        <v>224</v>
      </c>
      <c r="F29" s="7" t="s">
        <v>1</v>
      </c>
      <c r="G29" s="575">
        <v>0.02</v>
      </c>
      <c r="H29" s="350"/>
      <c r="I29" s="14" t="s">
        <v>8</v>
      </c>
      <c r="J29" s="494"/>
      <c r="K29" s="18"/>
      <c r="L29" s="378"/>
      <c r="M29" s="462"/>
      <c r="O29" s="567" t="s">
        <v>256</v>
      </c>
      <c r="P29" s="560"/>
      <c r="Q29" s="622" t="s">
        <v>13</v>
      </c>
      <c r="R29" s="25"/>
      <c r="S29" s="14" t="s">
        <v>8</v>
      </c>
      <c r="T29" s="18"/>
      <c r="AB29" s="329"/>
    </row>
    <row r="30" spans="2:28" ht="17" thickBot="1">
      <c r="B30" s="12"/>
      <c r="C30" s="400"/>
      <c r="E30" s="557" t="s">
        <v>222</v>
      </c>
      <c r="F30" s="7" t="s">
        <v>28</v>
      </c>
      <c r="G30" s="558">
        <v>10</v>
      </c>
      <c r="H30" s="352"/>
      <c r="I30" s="14" t="s">
        <v>8</v>
      </c>
      <c r="J30" s="494"/>
      <c r="K30" s="18"/>
      <c r="L30" s="12"/>
      <c r="AB30" s="329"/>
    </row>
    <row r="31" spans="2:28" ht="17" thickBot="1">
      <c r="B31" s="12"/>
      <c r="C31" s="408"/>
      <c r="D31" s="18"/>
      <c r="E31" s="559" t="s">
        <v>223</v>
      </c>
      <c r="F31" s="560" t="s">
        <v>1</v>
      </c>
      <c r="G31" s="561">
        <v>0.02</v>
      </c>
      <c r="H31" s="358"/>
      <c r="I31" s="14" t="s">
        <v>8</v>
      </c>
      <c r="J31" s="493"/>
      <c r="K31" s="18"/>
      <c r="L31" s="378"/>
      <c r="O31" s="5" t="s">
        <v>453</v>
      </c>
      <c r="P31" s="431" t="s">
        <v>302</v>
      </c>
      <c r="Q31" s="501" t="s">
        <v>337</v>
      </c>
      <c r="R31" s="18"/>
      <c r="AB31" s="329"/>
    </row>
    <row r="32" spans="2:28" ht="17" thickBot="1">
      <c r="B32" s="12"/>
      <c r="C32" s="457"/>
      <c r="E32" s="623" t="s">
        <v>66</v>
      </c>
      <c r="F32" s="6" t="s">
        <v>1</v>
      </c>
      <c r="G32" s="566">
        <v>4.0000000000000001E-3</v>
      </c>
      <c r="H32" s="350"/>
      <c r="I32" s="452" t="s">
        <v>8</v>
      </c>
      <c r="J32" s="493"/>
      <c r="K32" s="18"/>
      <c r="L32" s="378"/>
      <c r="M32" s="462"/>
      <c r="O32" s="685" t="s">
        <v>460</v>
      </c>
      <c r="P32" s="686"/>
      <c r="Q32" s="687" t="s">
        <v>463</v>
      </c>
      <c r="S32" s="14" t="s">
        <v>8</v>
      </c>
      <c r="AB32" s="329"/>
    </row>
    <row r="33" spans="2:28" ht="17" thickBot="1">
      <c r="B33" s="12"/>
      <c r="E33" s="557" t="s">
        <v>327</v>
      </c>
      <c r="F33" s="7" t="s">
        <v>0</v>
      </c>
      <c r="G33" s="563">
        <f>$G$32*IF($G$14="Simple",$G$22,IF($G$14="Intermediate",SUM($G$16:$G$19),SUM('Complex Inputs'!$C$116:$C$119)))</f>
        <v>100000</v>
      </c>
      <c r="H33" s="355"/>
      <c r="I33" s="452" t="s">
        <v>8</v>
      </c>
      <c r="J33" s="493"/>
      <c r="K33" s="18"/>
      <c r="L33" s="378"/>
      <c r="M33" s="457"/>
      <c r="N33" s="1">
        <f>IF(OR(Q33&lt;0,Q33&gt;1),1,0)</f>
        <v>0</v>
      </c>
      <c r="O33" s="551" t="s">
        <v>217</v>
      </c>
      <c r="P33" s="544" t="s">
        <v>1</v>
      </c>
      <c r="Q33" s="626">
        <v>0.3</v>
      </c>
      <c r="R33" s="18">
        <f>IF(OR($Q$32="Performance-Based",$Q$32="Neither"),1,0)</f>
        <v>1</v>
      </c>
      <c r="S33" s="14" t="s">
        <v>8</v>
      </c>
      <c r="AB33" s="329"/>
    </row>
    <row r="34" spans="2:28">
      <c r="B34" s="12"/>
      <c r="C34" s="457"/>
      <c r="E34" s="564" t="s">
        <v>216</v>
      </c>
      <c r="F34" s="6" t="s">
        <v>11</v>
      </c>
      <c r="G34" s="565">
        <v>30000</v>
      </c>
      <c r="H34" s="368"/>
      <c r="I34" s="452" t="s">
        <v>8</v>
      </c>
      <c r="J34" s="494"/>
      <c r="K34" s="18"/>
      <c r="L34" s="12"/>
      <c r="N34" s="1">
        <f>IF(OR(Q34&lt;0,Q34&gt;1),1,0)</f>
        <v>0</v>
      </c>
      <c r="O34" s="551" t="s">
        <v>26</v>
      </c>
      <c r="P34" s="544" t="s">
        <v>1</v>
      </c>
      <c r="Q34" s="626">
        <v>1</v>
      </c>
      <c r="AB34" s="329"/>
    </row>
    <row r="35" spans="2:28">
      <c r="B35" s="12"/>
      <c r="C35" s="457"/>
      <c r="E35" s="557" t="s">
        <v>258</v>
      </c>
      <c r="F35" s="6" t="s">
        <v>11</v>
      </c>
      <c r="G35" s="565">
        <v>75000</v>
      </c>
      <c r="H35" s="368"/>
      <c r="I35" s="452" t="s">
        <v>8</v>
      </c>
      <c r="J35" s="493"/>
      <c r="K35" s="18"/>
      <c r="L35" s="378"/>
      <c r="M35" s="457"/>
      <c r="N35" s="1">
        <f>IF(OR(Q35&lt;1,Q35&gt;G11),1,0)</f>
        <v>0</v>
      </c>
      <c r="O35" s="557" t="s">
        <v>31</v>
      </c>
      <c r="P35" s="22" t="s">
        <v>32</v>
      </c>
      <c r="Q35" s="558">
        <v>1</v>
      </c>
      <c r="R35" s="18"/>
      <c r="S35" s="14" t="s">
        <v>8</v>
      </c>
      <c r="T35" s="18"/>
      <c r="AB35" s="329"/>
    </row>
    <row r="36" spans="2:28" ht="17" thickBot="1">
      <c r="B36" s="12"/>
      <c r="C36" s="457"/>
      <c r="E36" s="557" t="s">
        <v>257</v>
      </c>
      <c r="F36" s="6" t="s">
        <v>1</v>
      </c>
      <c r="G36" s="566">
        <v>0</v>
      </c>
      <c r="I36" s="452" t="s">
        <v>8</v>
      </c>
      <c r="J36" s="493"/>
      <c r="K36" s="18"/>
      <c r="L36" s="12"/>
      <c r="O36" s="567" t="s">
        <v>410</v>
      </c>
      <c r="P36" s="627" t="s">
        <v>0</v>
      </c>
      <c r="Q36" s="689">
        <f>IF(AND($G$69="Yes",$Q$32="Cost-Based"),SUM('Cash Flow'!$G$183:$AJ$183),0)</f>
        <v>0</v>
      </c>
      <c r="S36" s="14" t="s">
        <v>8</v>
      </c>
      <c r="AB36" s="329"/>
    </row>
    <row r="37" spans="2:28">
      <c r="B37" s="12"/>
      <c r="C37" s="457"/>
      <c r="E37" s="557" t="s">
        <v>361</v>
      </c>
      <c r="F37" s="6" t="s">
        <v>11</v>
      </c>
      <c r="G37" s="565">
        <v>25000</v>
      </c>
      <c r="H37" s="368"/>
      <c r="I37" s="452" t="s">
        <v>8</v>
      </c>
      <c r="J37" s="493"/>
      <c r="K37" s="18"/>
      <c r="L37" s="378"/>
      <c r="M37" s="462"/>
      <c r="O37" s="623" t="s">
        <v>317</v>
      </c>
      <c r="P37" s="6"/>
      <c r="Q37" s="688" t="s">
        <v>435</v>
      </c>
      <c r="R37" s="18">
        <f>IF(OR($Q$32="Cost-Based",$Q$32="Neither"),1,0)</f>
        <v>1</v>
      </c>
      <c r="S37" s="14" t="s">
        <v>8</v>
      </c>
      <c r="AB37" s="329"/>
    </row>
    <row r="38" spans="2:28">
      <c r="B38" s="12"/>
      <c r="C38" s="457"/>
      <c r="E38" s="547" t="s">
        <v>117</v>
      </c>
      <c r="F38" s="6" t="s">
        <v>1</v>
      </c>
      <c r="G38" s="566">
        <v>0.03</v>
      </c>
      <c r="H38" s="350"/>
      <c r="I38" s="452" t="s">
        <v>8</v>
      </c>
      <c r="J38" s="493"/>
      <c r="K38" s="18"/>
      <c r="L38" s="12"/>
      <c r="O38" s="557" t="s">
        <v>449</v>
      </c>
      <c r="P38" s="22" t="s">
        <v>0</v>
      </c>
      <c r="Q38" s="711">
        <v>500000</v>
      </c>
      <c r="R38" s="309"/>
      <c r="S38" s="14" t="s">
        <v>8</v>
      </c>
      <c r="T38" s="18"/>
      <c r="AB38" s="329"/>
    </row>
    <row r="39" spans="2:28" ht="17" thickBot="1">
      <c r="B39" s="12"/>
      <c r="E39" s="567" t="s">
        <v>328</v>
      </c>
      <c r="F39" s="560" t="s">
        <v>0</v>
      </c>
      <c r="G39" s="568">
        <f>-'Cash Flow'!G34</f>
        <v>84516.479999999996</v>
      </c>
      <c r="H39" s="355"/>
      <c r="I39" s="452" t="s">
        <v>8</v>
      </c>
      <c r="J39" s="329"/>
      <c r="K39" s="18"/>
      <c r="L39" s="378"/>
      <c r="M39" s="462"/>
      <c r="O39" s="557" t="s">
        <v>461</v>
      </c>
      <c r="P39" s="11"/>
      <c r="Q39" s="616" t="s">
        <v>140</v>
      </c>
      <c r="R39" s="430">
        <f>IF(OR($Q$32="Cost-Based",$Q$32="Neither",$Q$37="Tax Credit"),1,0)</f>
        <v>1</v>
      </c>
      <c r="S39" s="14" t="s">
        <v>8</v>
      </c>
      <c r="AB39" s="329"/>
    </row>
    <row r="40" spans="2:28" ht="17" thickBot="1">
      <c r="B40" s="12"/>
      <c r="C40" s="409"/>
      <c r="E40" s="13"/>
      <c r="F40" s="13"/>
      <c r="G40" s="13"/>
      <c r="I40" s="20"/>
      <c r="J40" s="493"/>
      <c r="K40" s="18"/>
      <c r="L40" s="378"/>
      <c r="M40" s="457"/>
      <c r="O40" s="557" t="s">
        <v>450</v>
      </c>
      <c r="P40" s="258" t="s">
        <v>53</v>
      </c>
      <c r="Q40" s="617">
        <v>1.5</v>
      </c>
      <c r="R40" s="25"/>
      <c r="S40" s="14" t="s">
        <v>8</v>
      </c>
      <c r="AB40" s="329"/>
    </row>
    <row r="41" spans="2:28" ht="17" thickBot="1">
      <c r="B41" s="12"/>
      <c r="C41" s="409"/>
      <c r="E41" s="5" t="s">
        <v>207</v>
      </c>
      <c r="F41" s="431" t="s">
        <v>302</v>
      </c>
      <c r="G41" s="501" t="s">
        <v>337</v>
      </c>
      <c r="H41" s="369"/>
      <c r="I41" s="20"/>
      <c r="J41" s="493"/>
      <c r="K41" s="18"/>
      <c r="L41" s="12"/>
      <c r="N41" s="732">
        <f>IF(OR(Q41&lt;0,Q41&gt;1),1,0)</f>
        <v>0</v>
      </c>
      <c r="O41" s="557" t="s">
        <v>162</v>
      </c>
      <c r="P41" s="7" t="s">
        <v>1</v>
      </c>
      <c r="Q41" s="600">
        <v>1</v>
      </c>
      <c r="T41" s="430"/>
      <c r="U41" s="451"/>
      <c r="AB41" s="329"/>
    </row>
    <row r="42" spans="2:28">
      <c r="B42" s="12"/>
      <c r="C42" s="460"/>
      <c r="E42" s="556" t="s">
        <v>5</v>
      </c>
      <c r="F42" s="544" t="s">
        <v>36</v>
      </c>
      <c r="G42" s="573">
        <v>6</v>
      </c>
      <c r="H42" s="369"/>
      <c r="I42" s="14" t="s">
        <v>8</v>
      </c>
      <c r="J42" s="493"/>
      <c r="K42" s="18"/>
      <c r="L42" s="378"/>
      <c r="M42" s="457"/>
      <c r="N42" s="1">
        <f>IF(OR(Q42&lt;0,Q42&gt;G11),1,0)</f>
        <v>0</v>
      </c>
      <c r="O42" s="557" t="s">
        <v>451</v>
      </c>
      <c r="P42" s="22" t="s">
        <v>32</v>
      </c>
      <c r="Q42" s="558">
        <v>10</v>
      </c>
      <c r="R42" s="25"/>
      <c r="S42" s="14" t="s">
        <v>8</v>
      </c>
      <c r="AB42" s="329"/>
    </row>
    <row r="43" spans="2:28" ht="17" thickBot="1">
      <c r="B43" s="12"/>
      <c r="C43" s="460"/>
      <c r="E43" s="574" t="s">
        <v>35</v>
      </c>
      <c r="F43" s="7" t="s">
        <v>1</v>
      </c>
      <c r="G43" s="575">
        <v>5.5E-2</v>
      </c>
      <c r="H43" s="369"/>
      <c r="I43" s="14" t="s">
        <v>8</v>
      </c>
      <c r="J43" s="493"/>
      <c r="K43" s="18"/>
      <c r="L43" s="378"/>
      <c r="M43" s="457"/>
      <c r="O43" s="557" t="s">
        <v>452</v>
      </c>
      <c r="P43" s="6" t="s">
        <v>1</v>
      </c>
      <c r="Q43" s="600">
        <v>0.02</v>
      </c>
      <c r="R43" s="18"/>
      <c r="S43" s="14" t="s">
        <v>8</v>
      </c>
      <c r="T43" s="430"/>
      <c r="AB43" s="329"/>
    </row>
    <row r="44" spans="2:28" ht="17" thickBot="1">
      <c r="B44" s="12"/>
      <c r="C44" s="409"/>
      <c r="E44" s="559" t="s">
        <v>37</v>
      </c>
      <c r="F44" s="549" t="s">
        <v>0</v>
      </c>
      <c r="G44" s="568">
        <f>IF($G$14="intermediate",SUM(G16:G19)*($G$43/12)*($G$42/2),IF($G$14="complex",'Complex Inputs'!$C$107,0))</f>
        <v>0</v>
      </c>
      <c r="H44" s="369"/>
      <c r="I44" s="14" t="s">
        <v>8</v>
      </c>
      <c r="J44" s="493"/>
      <c r="K44" s="18"/>
      <c r="L44" s="378"/>
      <c r="M44" s="457"/>
      <c r="N44" s="18"/>
      <c r="O44" s="709" t="s">
        <v>459</v>
      </c>
      <c r="P44" s="669" t="s">
        <v>358</v>
      </c>
      <c r="Q44" s="712">
        <v>0</v>
      </c>
      <c r="S44" s="14" t="s">
        <v>8</v>
      </c>
      <c r="U44" s="18"/>
      <c r="AB44" s="329"/>
    </row>
    <row r="45" spans="2:28" ht="17" thickBot="1">
      <c r="B45" s="12"/>
      <c r="G45" s="253"/>
      <c r="H45" s="253"/>
      <c r="I45" s="20"/>
      <c r="J45" s="493"/>
      <c r="K45" s="18"/>
      <c r="L45" s="12"/>
      <c r="O45" s="557" t="s">
        <v>448</v>
      </c>
      <c r="P45" s="22" t="s">
        <v>0</v>
      </c>
      <c r="Q45" s="710">
        <v>500000</v>
      </c>
      <c r="S45" s="14" t="s">
        <v>8</v>
      </c>
      <c r="T45" s="502"/>
      <c r="U45" s="432"/>
      <c r="AB45" s="329"/>
    </row>
    <row r="46" spans="2:28" ht="17" thickBot="1">
      <c r="B46" s="12"/>
      <c r="C46" s="409"/>
      <c r="E46" s="583" t="s">
        <v>34</v>
      </c>
      <c r="F46" s="584" t="s">
        <v>302</v>
      </c>
      <c r="G46" s="585" t="s">
        <v>337</v>
      </c>
      <c r="H46" s="369"/>
      <c r="I46" s="495"/>
      <c r="J46" s="493"/>
      <c r="K46" s="18"/>
      <c r="L46" s="378"/>
      <c r="M46" s="462"/>
      <c r="O46" s="567" t="s">
        <v>255</v>
      </c>
      <c r="P46" s="560"/>
      <c r="Q46" s="622" t="s">
        <v>13</v>
      </c>
      <c r="R46" s="25"/>
      <c r="S46" s="14" t="s">
        <v>8</v>
      </c>
      <c r="AB46" s="329"/>
    </row>
    <row r="47" spans="2:28" ht="17" thickBot="1">
      <c r="B47" s="12"/>
      <c r="C47" s="457"/>
      <c r="D47" s="1">
        <f>IF(OR(G47="",G47&lt;0,G47&gt;1),1,0)</f>
        <v>0</v>
      </c>
      <c r="E47" s="562" t="s">
        <v>259</v>
      </c>
      <c r="F47" s="544" t="s">
        <v>1</v>
      </c>
      <c r="G47" s="576">
        <v>0.5</v>
      </c>
      <c r="H47" s="370"/>
      <c r="I47" s="14" t="s">
        <v>8</v>
      </c>
      <c r="J47" s="494"/>
      <c r="K47" s="18"/>
      <c r="L47" s="378"/>
      <c r="T47" s="18"/>
      <c r="U47" s="380"/>
      <c r="AB47" s="329"/>
    </row>
    <row r="48" spans="2:28" ht="17" thickBot="1">
      <c r="B48" s="12"/>
      <c r="C48" s="457"/>
      <c r="D48" s="1">
        <f>IF(OR(G48&lt;=0,G48&gt;G11),1,0)</f>
        <v>0</v>
      </c>
      <c r="E48" s="557" t="s">
        <v>442</v>
      </c>
      <c r="F48" s="7" t="s">
        <v>4</v>
      </c>
      <c r="G48" s="558">
        <v>15</v>
      </c>
      <c r="H48" s="352"/>
      <c r="I48" s="14" t="s">
        <v>8</v>
      </c>
      <c r="J48" s="494"/>
      <c r="K48" s="18"/>
      <c r="L48" s="378"/>
      <c r="M48" s="18"/>
      <c r="N48" s="18"/>
      <c r="O48" s="5" t="s">
        <v>359</v>
      </c>
      <c r="P48" s="27"/>
      <c r="Q48" s="501"/>
      <c r="R48" s="18"/>
      <c r="S48" s="18"/>
      <c r="T48" s="18"/>
      <c r="U48" s="18"/>
      <c r="AB48" s="329"/>
    </row>
    <row r="49" spans="2:28">
      <c r="B49" s="12"/>
      <c r="C49" s="460"/>
      <c r="D49" s="1">
        <f>IF(OR(G49&lt;0,G49=""),1,0)</f>
        <v>0</v>
      </c>
      <c r="E49" s="557" t="s">
        <v>221</v>
      </c>
      <c r="F49" s="7" t="s">
        <v>1</v>
      </c>
      <c r="G49" s="588">
        <v>7.0000000000000007E-2</v>
      </c>
      <c r="H49" s="371"/>
      <c r="I49" s="14" t="s">
        <v>8</v>
      </c>
      <c r="J49" s="494"/>
      <c r="K49" s="18"/>
      <c r="L49" s="378"/>
      <c r="M49" s="463"/>
      <c r="N49" s="18">
        <f>IF(OR(Q49&lt;1,Q49&gt;$G$11),1,0)</f>
        <v>0</v>
      </c>
      <c r="O49" s="556" t="s">
        <v>64</v>
      </c>
      <c r="P49" s="620" t="s">
        <v>28</v>
      </c>
      <c r="Q49" s="671">
        <v>7</v>
      </c>
      <c r="R49" s="18"/>
      <c r="S49" s="14" t="s">
        <v>8</v>
      </c>
      <c r="T49" s="18"/>
      <c r="U49" s="18"/>
      <c r="AB49" s="329"/>
    </row>
    <row r="50" spans="2:28" ht="17" thickBot="1">
      <c r="B50" s="12"/>
      <c r="C50" s="457"/>
      <c r="D50" s="1">
        <f>IF(OR(G50&lt;0,G50=""),1,0)</f>
        <v>0</v>
      </c>
      <c r="E50" s="589" t="s">
        <v>48</v>
      </c>
      <c r="F50" s="560" t="s">
        <v>1</v>
      </c>
      <c r="G50" s="590">
        <v>0.03</v>
      </c>
      <c r="H50" s="350"/>
      <c r="I50" s="14" t="s">
        <v>8</v>
      </c>
      <c r="J50" s="493"/>
      <c r="K50" s="18"/>
      <c r="L50" s="378"/>
      <c r="M50" s="408"/>
      <c r="N50" s="18"/>
      <c r="O50" s="559" t="s">
        <v>267</v>
      </c>
      <c r="P50" s="627" t="str">
        <f>$F$15</f>
        <v>$/kW</v>
      </c>
      <c r="Q50" s="632">
        <v>0</v>
      </c>
      <c r="R50" s="18"/>
      <c r="S50" s="14" t="s">
        <v>8</v>
      </c>
      <c r="T50" s="18"/>
      <c r="U50" s="18"/>
      <c r="AB50" s="329"/>
    </row>
    <row r="51" spans="2:28">
      <c r="B51" s="12"/>
      <c r="C51" s="457"/>
      <c r="E51" s="586" t="s">
        <v>234</v>
      </c>
      <c r="F51" s="455"/>
      <c r="G51" s="587">
        <v>1.2</v>
      </c>
      <c r="H51" s="359"/>
      <c r="I51" s="14" t="s">
        <v>8</v>
      </c>
      <c r="J51" s="493"/>
      <c r="K51" s="18"/>
      <c r="L51" s="378"/>
      <c r="M51" s="463"/>
      <c r="N51" s="18">
        <f>IF(OR(Q51&lt;Q49,Q51&gt;$G$11),1,0)</f>
        <v>0</v>
      </c>
      <c r="O51" s="630" t="s">
        <v>65</v>
      </c>
      <c r="P51" s="29" t="s">
        <v>28</v>
      </c>
      <c r="Q51" s="631">
        <v>14</v>
      </c>
      <c r="R51" s="18"/>
      <c r="S51" s="14" t="s">
        <v>8</v>
      </c>
      <c r="T51" s="18"/>
      <c r="U51" s="18"/>
      <c r="AB51" s="329"/>
    </row>
    <row r="52" spans="2:28" ht="17" thickBot="1">
      <c r="B52" s="12"/>
      <c r="E52" s="578" t="s">
        <v>235</v>
      </c>
      <c r="F52" s="331">
        <f>MAX('Cash Flow'!G42:AJ42)</f>
        <v>15</v>
      </c>
      <c r="G52" s="579">
        <f>ROUND('Cash Flow'!$F$41,2)</f>
        <v>1.02</v>
      </c>
      <c r="H52" s="360"/>
      <c r="I52" s="14" t="s">
        <v>8</v>
      </c>
      <c r="J52" s="493"/>
      <c r="K52" s="18"/>
      <c r="L52" s="378"/>
      <c r="M52" s="408"/>
      <c r="N52" s="18"/>
      <c r="O52" s="559" t="s">
        <v>268</v>
      </c>
      <c r="P52" s="627" t="str">
        <f>$F$15</f>
        <v>$/kW</v>
      </c>
      <c r="Q52" s="632">
        <v>0</v>
      </c>
      <c r="R52" s="18"/>
      <c r="S52" s="14" t="s">
        <v>8</v>
      </c>
      <c r="T52" s="18"/>
      <c r="U52" s="18"/>
      <c r="AB52" s="329"/>
    </row>
    <row r="53" spans="2:28">
      <c r="B53" s="12"/>
      <c r="C53" s="457"/>
      <c r="E53" s="578" t="s">
        <v>335</v>
      </c>
      <c r="F53" s="11" t="s">
        <v>204</v>
      </c>
      <c r="G53" s="580" t="str">
        <f>IF($G$52&gt;=$G$51,"Pass","Fail")</f>
        <v>Fail</v>
      </c>
      <c r="H53" s="496"/>
      <c r="I53" s="14" t="s">
        <v>8</v>
      </c>
      <c r="J53" s="494"/>
      <c r="K53" s="18"/>
      <c r="L53" s="378"/>
      <c r="M53" s="463"/>
      <c r="N53" s="18">
        <f>IF(OR(Q53&lt;Q51,Q53&gt;$G$11),1,0)</f>
        <v>0</v>
      </c>
      <c r="O53" s="574" t="s">
        <v>390</v>
      </c>
      <c r="P53" s="22" t="s">
        <v>28</v>
      </c>
      <c r="Q53" s="631">
        <v>15</v>
      </c>
      <c r="R53" s="18"/>
      <c r="S53" s="14" t="s">
        <v>8</v>
      </c>
      <c r="T53" s="18"/>
      <c r="U53" s="18"/>
      <c r="AB53" s="329"/>
    </row>
    <row r="54" spans="2:28" ht="17" thickBot="1">
      <c r="B54" s="12"/>
      <c r="C54" s="457"/>
      <c r="E54" s="578" t="s">
        <v>264</v>
      </c>
      <c r="F54" s="11"/>
      <c r="G54" s="581">
        <v>1.45</v>
      </c>
      <c r="H54" s="359"/>
      <c r="I54" s="14" t="s">
        <v>8</v>
      </c>
      <c r="J54" s="493"/>
      <c r="K54" s="18"/>
      <c r="L54" s="378"/>
      <c r="M54" s="408"/>
      <c r="N54" s="18"/>
      <c r="O54" s="559" t="s">
        <v>391</v>
      </c>
      <c r="P54" s="627" t="str">
        <f>$F$15</f>
        <v>$/kW</v>
      </c>
      <c r="Q54" s="632">
        <v>0</v>
      </c>
      <c r="R54" s="18"/>
      <c r="S54" s="14" t="s">
        <v>8</v>
      </c>
      <c r="AB54" s="329"/>
    </row>
    <row r="55" spans="2:28">
      <c r="B55" s="12"/>
      <c r="E55" s="578" t="s">
        <v>263</v>
      </c>
      <c r="F55" s="331"/>
      <c r="G55" s="579">
        <f>ROUND('Cash Flow'!$E$41,2)</f>
        <v>1.17</v>
      </c>
      <c r="H55" s="360"/>
      <c r="I55" s="14" t="s">
        <v>8</v>
      </c>
      <c r="J55" s="493"/>
      <c r="K55" s="18"/>
      <c r="L55" s="378"/>
      <c r="M55" s="463"/>
      <c r="N55" s="18">
        <f>IF(OR(Q55&lt;Q53,Q55&gt;$G$11),1,0)</f>
        <v>0</v>
      </c>
      <c r="O55" s="574" t="s">
        <v>392</v>
      </c>
      <c r="P55" s="22" t="s">
        <v>28</v>
      </c>
      <c r="Q55" s="631">
        <v>20</v>
      </c>
      <c r="R55" s="18"/>
      <c r="S55" s="14" t="s">
        <v>8</v>
      </c>
      <c r="AB55" s="329"/>
    </row>
    <row r="56" spans="2:28" ht="17" thickBot="1">
      <c r="B56" s="12"/>
      <c r="C56" s="457"/>
      <c r="E56" s="548" t="s">
        <v>336</v>
      </c>
      <c r="F56" s="549" t="s">
        <v>204</v>
      </c>
      <c r="G56" s="582" t="str">
        <f>IF($G$55&gt;=$G$54,"Pass","Fail")</f>
        <v>Fail</v>
      </c>
      <c r="H56" s="496"/>
      <c r="I56" s="14" t="s">
        <v>8</v>
      </c>
      <c r="J56" s="493"/>
      <c r="K56" s="18"/>
      <c r="L56" s="378"/>
      <c r="M56" s="408"/>
      <c r="N56" s="18"/>
      <c r="O56" s="559" t="s">
        <v>393</v>
      </c>
      <c r="P56" s="627" t="str">
        <f>$F$15</f>
        <v>$/kW</v>
      </c>
      <c r="Q56" s="632">
        <v>0</v>
      </c>
      <c r="R56" s="18"/>
      <c r="S56" s="14" t="s">
        <v>8</v>
      </c>
      <c r="AB56" s="329"/>
    </row>
    <row r="57" spans="2:28" ht="17" thickBot="1">
      <c r="B57" s="12"/>
      <c r="E57" s="543" t="s">
        <v>339</v>
      </c>
      <c r="F57" s="544" t="s">
        <v>1</v>
      </c>
      <c r="G57" s="591">
        <f>1-G47</f>
        <v>0.5</v>
      </c>
      <c r="H57" s="372"/>
      <c r="I57" s="14" t="s">
        <v>8</v>
      </c>
      <c r="J57" s="493"/>
      <c r="K57" s="18"/>
      <c r="L57" s="378"/>
      <c r="AB57" s="329"/>
    </row>
    <row r="58" spans="2:28" ht="17" thickBot="1">
      <c r="B58" s="12"/>
      <c r="C58" s="457"/>
      <c r="D58" s="1">
        <f>IF(OR(G58&lt;0,G58=""),1,0)</f>
        <v>0</v>
      </c>
      <c r="E58" s="592" t="s">
        <v>282</v>
      </c>
      <c r="F58" s="560" t="s">
        <v>1</v>
      </c>
      <c r="G58" s="577">
        <v>0.15</v>
      </c>
      <c r="H58" s="371"/>
      <c r="I58" s="14" t="s">
        <v>8</v>
      </c>
      <c r="J58" s="493"/>
      <c r="K58" s="18"/>
      <c r="L58" s="378"/>
      <c r="M58" s="18"/>
      <c r="N58" s="18"/>
      <c r="O58" s="5" t="s">
        <v>45</v>
      </c>
      <c r="P58" s="431" t="s">
        <v>302</v>
      </c>
      <c r="Q58" s="501" t="s">
        <v>337</v>
      </c>
      <c r="R58" s="18"/>
      <c r="S58" s="18"/>
      <c r="T58" s="18"/>
      <c r="U58" s="18"/>
      <c r="AB58" s="329"/>
    </row>
    <row r="59" spans="2:28">
      <c r="B59" s="12"/>
      <c r="E59" s="562" t="s">
        <v>321</v>
      </c>
      <c r="F59" s="544" t="s">
        <v>1</v>
      </c>
      <c r="G59" s="593">
        <f>(G58*F64)+(F63*G49*(1-G74))</f>
        <v>9.5816249999999992E-2</v>
      </c>
      <c r="I59" s="14" t="s">
        <v>8</v>
      </c>
      <c r="J59" s="329"/>
      <c r="K59" s="18"/>
      <c r="L59" s="378"/>
      <c r="M59" s="18"/>
      <c r="N59" s="18"/>
      <c r="O59" s="633" t="s">
        <v>44</v>
      </c>
      <c r="P59" s="634"/>
      <c r="Q59" s="635"/>
      <c r="R59" s="18"/>
      <c r="S59" s="18"/>
      <c r="T59" s="18"/>
      <c r="AB59" s="329"/>
    </row>
    <row r="60" spans="2:28" ht="17" thickBot="1">
      <c r="B60" s="12"/>
      <c r="C60" s="457"/>
      <c r="E60" s="589" t="s">
        <v>189</v>
      </c>
      <c r="F60" s="560" t="s">
        <v>0</v>
      </c>
      <c r="G60" s="594">
        <v>0</v>
      </c>
      <c r="H60" s="368"/>
      <c r="I60" s="14" t="s">
        <v>8</v>
      </c>
      <c r="J60" s="329"/>
      <c r="K60" s="18"/>
      <c r="L60" s="378"/>
      <c r="M60" s="462"/>
      <c r="N60" s="18"/>
      <c r="O60" s="636" t="s">
        <v>46</v>
      </c>
      <c r="P60" s="28"/>
      <c r="Q60" s="616" t="s">
        <v>462</v>
      </c>
      <c r="R60" s="18"/>
      <c r="S60" s="14" t="s">
        <v>8</v>
      </c>
      <c r="T60" s="18"/>
      <c r="U60" s="18"/>
      <c r="AB60" s="329"/>
    </row>
    <row r="61" spans="2:28" ht="17" thickBot="1">
      <c r="B61" s="12"/>
      <c r="J61" s="329"/>
      <c r="K61" s="18"/>
      <c r="L61" s="378"/>
      <c r="M61" s="463"/>
      <c r="N61" s="18"/>
      <c r="O61" s="559" t="s">
        <v>47</v>
      </c>
      <c r="P61" s="627" t="s">
        <v>0</v>
      </c>
      <c r="Q61" s="594">
        <v>500000</v>
      </c>
      <c r="R61" s="18"/>
      <c r="S61" s="14" t="s">
        <v>8</v>
      </c>
      <c r="T61" s="18"/>
      <c r="U61" s="473"/>
      <c r="AB61" s="329"/>
    </row>
    <row r="62" spans="2:28" ht="17" thickBot="1">
      <c r="B62" s="378"/>
      <c r="E62" s="397" t="s">
        <v>262</v>
      </c>
      <c r="F62" s="27"/>
      <c r="G62" s="398"/>
      <c r="J62" s="329"/>
      <c r="K62" s="18"/>
      <c r="L62" s="378"/>
      <c r="U62" s="473"/>
      <c r="AB62" s="329"/>
    </row>
    <row r="63" spans="2:28" ht="17" thickBot="1">
      <c r="B63" s="378"/>
      <c r="E63" s="562" t="s">
        <v>260</v>
      </c>
      <c r="F63" s="691">
        <f>G63/$G$66</f>
        <v>0.5</v>
      </c>
      <c r="G63" s="595">
        <f>'Cash Flow'!F82</f>
        <v>12500000</v>
      </c>
      <c r="I63" s="14" t="s">
        <v>8</v>
      </c>
      <c r="J63" s="329"/>
      <c r="K63" s="18"/>
      <c r="L63" s="378"/>
      <c r="M63" s="18"/>
      <c r="N63" s="18"/>
      <c r="O63" s="5" t="s">
        <v>38</v>
      </c>
      <c r="P63" s="431" t="s">
        <v>302</v>
      </c>
      <c r="Q63" s="501" t="s">
        <v>337</v>
      </c>
      <c r="R63" s="18"/>
      <c r="S63" s="18"/>
      <c r="T63" s="18"/>
      <c r="U63" s="466"/>
      <c r="AB63" s="329"/>
    </row>
    <row r="64" spans="2:28">
      <c r="B64" s="378"/>
      <c r="E64" s="557" t="s">
        <v>261</v>
      </c>
      <c r="F64" s="690">
        <f>G64/$G$66</f>
        <v>0.5</v>
      </c>
      <c r="G64" s="563">
        <f>-'Cash Flow'!$F$52</f>
        <v>12500000</v>
      </c>
      <c r="I64" s="14" t="s">
        <v>8</v>
      </c>
      <c r="J64" s="329"/>
      <c r="K64" s="18"/>
      <c r="L64" s="378"/>
      <c r="M64" s="18"/>
      <c r="N64" s="18"/>
      <c r="O64" s="637" t="s">
        <v>39</v>
      </c>
      <c r="P64" s="628"/>
      <c r="Q64" s="629"/>
      <c r="R64" s="18"/>
      <c r="S64" s="18"/>
      <c r="T64" s="18"/>
      <c r="U64" s="18"/>
      <c r="AB64" s="329"/>
    </row>
    <row r="65" spans="2:28" ht="17" thickBot="1">
      <c r="B65" s="12"/>
      <c r="E65" s="596" t="s">
        <v>325</v>
      </c>
      <c r="F65" s="696">
        <f>G65/$G$66</f>
        <v>0</v>
      </c>
      <c r="G65" s="697">
        <f>IF($Q$29="Yes",$Q$28*(1-$G$70),$Q$28)+IF($Q$46="Yes",IF($Q$45=0,($Q$44*$G$7)*(1-$G$72),MIN($Q$45*(1-$G$72),($Q$44*$G$7)*(1-$G$72))),IF($Q$45=0,$Q$44*$G$7,MIN($Q$45,$Q$44*$G$7)))</f>
        <v>0</v>
      </c>
      <c r="H65" s="357"/>
      <c r="I65" s="14" t="s">
        <v>8</v>
      </c>
      <c r="J65" s="329"/>
      <c r="L65" s="378"/>
      <c r="M65" s="463"/>
      <c r="N65" s="18"/>
      <c r="O65" s="557" t="s">
        <v>43</v>
      </c>
      <c r="P65" s="7" t="s">
        <v>36</v>
      </c>
      <c r="Q65" s="558">
        <v>6</v>
      </c>
      <c r="R65" s="18"/>
      <c r="S65" s="14" t="s">
        <v>8</v>
      </c>
      <c r="T65" s="18"/>
      <c r="U65" s="18"/>
      <c r="AB65" s="329"/>
    </row>
    <row r="66" spans="2:28" ht="18" thickTop="1" thickBot="1">
      <c r="B66" s="378"/>
      <c r="E66" s="597" t="s">
        <v>139</v>
      </c>
      <c r="F66" s="555" t="s">
        <v>0</v>
      </c>
      <c r="G66" s="598">
        <f>SUM(G63:G65)</f>
        <v>25000000</v>
      </c>
      <c r="I66" s="14" t="s">
        <v>8</v>
      </c>
      <c r="J66" s="329"/>
      <c r="K66" s="18"/>
      <c r="L66" s="378"/>
      <c r="M66" s="18"/>
      <c r="N66" s="18"/>
      <c r="O66" s="567" t="s">
        <v>42</v>
      </c>
      <c r="P66" s="560" t="s">
        <v>0</v>
      </c>
      <c r="Q66" s="638">
        <f>-'Cash Flow'!$G$85/12*$Q$65</f>
        <v>686216.40438129089</v>
      </c>
      <c r="R66" s="18"/>
      <c r="S66" s="14" t="s">
        <v>8</v>
      </c>
      <c r="T66" s="18"/>
      <c r="U66" s="18"/>
      <c r="AB66" s="329"/>
    </row>
    <row r="67" spans="2:28" ht="17" thickBot="1">
      <c r="B67" s="12"/>
      <c r="J67" s="329"/>
      <c r="L67" s="378"/>
      <c r="M67" s="18"/>
      <c r="N67" s="18"/>
      <c r="O67" s="637" t="s">
        <v>63</v>
      </c>
      <c r="P67" s="628"/>
      <c r="Q67" s="639"/>
      <c r="R67" s="18"/>
      <c r="S67" s="18"/>
      <c r="T67" s="18"/>
      <c r="U67" s="18"/>
      <c r="AB67" s="329"/>
    </row>
    <row r="68" spans="2:28" ht="17" thickBot="1">
      <c r="B68" s="12"/>
      <c r="E68" s="5" t="s">
        <v>159</v>
      </c>
      <c r="F68" s="431" t="s">
        <v>302</v>
      </c>
      <c r="G68" s="501" t="s">
        <v>337</v>
      </c>
      <c r="H68" s="373"/>
      <c r="I68" s="20"/>
      <c r="J68" s="329"/>
      <c r="L68" s="378"/>
      <c r="M68" s="463"/>
      <c r="N68" s="18"/>
      <c r="O68" s="574" t="s">
        <v>40</v>
      </c>
      <c r="P68" s="7" t="s">
        <v>36</v>
      </c>
      <c r="Q68" s="558">
        <v>6</v>
      </c>
      <c r="R68" s="18"/>
      <c r="S68" s="14" t="s">
        <v>8</v>
      </c>
      <c r="T68" s="18"/>
      <c r="AB68" s="329"/>
    </row>
    <row r="69" spans="2:28" ht="17" thickBot="1">
      <c r="B69" s="12"/>
      <c r="C69" s="461"/>
      <c r="E69" s="530" t="s">
        <v>16</v>
      </c>
      <c r="F69" s="661"/>
      <c r="G69" s="662" t="s">
        <v>13</v>
      </c>
      <c r="H69" s="362"/>
      <c r="I69" s="14" t="s">
        <v>8</v>
      </c>
      <c r="J69" s="329"/>
      <c r="L69" s="378"/>
      <c r="M69" s="18"/>
      <c r="N69" s="18"/>
      <c r="O69" s="559" t="s">
        <v>41</v>
      </c>
      <c r="P69" s="560" t="s">
        <v>0</v>
      </c>
      <c r="Q69" s="638">
        <f>-(AVERAGE('Cash Flow'!G36:AJ36)/12*$Q$68)</f>
        <v>576690.21690823347</v>
      </c>
      <c r="R69" s="18"/>
      <c r="S69" s="14" t="s">
        <v>8</v>
      </c>
      <c r="T69" s="18"/>
      <c r="U69" s="18"/>
      <c r="AB69" s="329"/>
    </row>
    <row r="70" spans="2:28" ht="17" thickBot="1">
      <c r="B70" s="12"/>
      <c r="C70" s="457"/>
      <c r="D70" s="1">
        <f>IF(OR(G70&lt;0,G70=""),1,0)</f>
        <v>0</v>
      </c>
      <c r="E70" s="551" t="s">
        <v>6</v>
      </c>
      <c r="F70" s="544" t="s">
        <v>1</v>
      </c>
      <c r="G70" s="663">
        <v>0.35</v>
      </c>
      <c r="H70" s="350"/>
      <c r="I70" s="14" t="s">
        <v>8</v>
      </c>
      <c r="J70" s="493"/>
      <c r="L70" s="378"/>
      <c r="M70" s="463"/>
      <c r="N70" s="18"/>
      <c r="O70" s="641" t="s">
        <v>150</v>
      </c>
      <c r="P70" s="531" t="s">
        <v>1</v>
      </c>
      <c r="Q70" s="640">
        <v>1.4999999999999999E-2</v>
      </c>
      <c r="R70" s="18"/>
      <c r="S70" s="14" t="s">
        <v>8</v>
      </c>
      <c r="T70" s="18"/>
      <c r="AB70" s="329"/>
    </row>
    <row r="71" spans="2:28" ht="17" thickBot="1">
      <c r="B71" s="12"/>
      <c r="C71" s="461"/>
      <c r="E71" s="618" t="s">
        <v>297</v>
      </c>
      <c r="F71" s="664"/>
      <c r="G71" s="622" t="s">
        <v>324</v>
      </c>
      <c r="H71" s="362"/>
      <c r="I71" s="14" t="s">
        <v>8</v>
      </c>
      <c r="J71" s="329"/>
      <c r="L71" s="12"/>
      <c r="AB71" s="329"/>
    </row>
    <row r="72" spans="2:28" ht="17" thickBot="1">
      <c r="B72" s="12"/>
      <c r="C72" s="457"/>
      <c r="D72" s="1">
        <f>IF(OR(G72&lt;0,G72=""),1,0)</f>
        <v>0</v>
      </c>
      <c r="E72" s="551" t="s">
        <v>7</v>
      </c>
      <c r="F72" s="544" t="s">
        <v>1</v>
      </c>
      <c r="G72" s="663">
        <v>8.5000000000000006E-2</v>
      </c>
      <c r="H72" s="350"/>
      <c r="I72" s="14" t="s">
        <v>8</v>
      </c>
      <c r="J72" s="493"/>
      <c r="L72" s="12"/>
      <c r="M72" s="18"/>
      <c r="N72" s="18"/>
      <c r="O72" s="433" t="s">
        <v>95</v>
      </c>
      <c r="P72" s="529" t="s">
        <v>338</v>
      </c>
      <c r="Q72" s="529"/>
      <c r="R72" s="529"/>
      <c r="S72" s="529"/>
      <c r="T72" s="529"/>
      <c r="U72" s="529"/>
      <c r="V72" s="529"/>
      <c r="W72" s="529"/>
      <c r="X72" s="529"/>
      <c r="Y72" s="529"/>
      <c r="Z72" s="398"/>
      <c r="AB72" s="329"/>
    </row>
    <row r="73" spans="2:28" ht="17" thickBot="1">
      <c r="B73" s="12"/>
      <c r="C73" s="461"/>
      <c r="E73" s="618" t="s">
        <v>298</v>
      </c>
      <c r="F73" s="664"/>
      <c r="G73" s="622" t="s">
        <v>324</v>
      </c>
      <c r="H73" s="362"/>
      <c r="I73" s="14" t="s">
        <v>8</v>
      </c>
      <c r="J73" s="493"/>
      <c r="L73" s="12"/>
      <c r="M73" s="461"/>
      <c r="N73" s="18"/>
      <c r="O73" s="619" t="s">
        <v>363</v>
      </c>
      <c r="P73" s="599" t="s">
        <v>13</v>
      </c>
      <c r="S73" s="509" t="s">
        <v>8</v>
      </c>
      <c r="Z73" s="329"/>
      <c r="AB73" s="329"/>
    </row>
    <row r="74" spans="2:28" ht="17" thickBot="1">
      <c r="B74" s="12"/>
      <c r="E74" s="665" t="s">
        <v>30</v>
      </c>
      <c r="F74" s="666" t="s">
        <v>1</v>
      </c>
      <c r="G74" s="667">
        <f>IF($G$69="Yes",$G$70+(G72*(1-$G$70)),0%)</f>
        <v>0.40525</v>
      </c>
      <c r="H74" s="375"/>
      <c r="I74" s="14" t="s">
        <v>8</v>
      </c>
      <c r="J74" s="493"/>
      <c r="L74" s="12"/>
      <c r="M74" s="463"/>
      <c r="O74" s="567" t="s">
        <v>364</v>
      </c>
      <c r="P74" s="642">
        <v>0.5</v>
      </c>
      <c r="S74" s="14" t="s">
        <v>8</v>
      </c>
      <c r="Z74" s="329"/>
      <c r="AB74" s="329"/>
    </row>
    <row r="75" spans="2:28" ht="17" thickBot="1">
      <c r="B75" s="12"/>
      <c r="E75" s="567" t="s">
        <v>95</v>
      </c>
      <c r="F75" s="601"/>
      <c r="G75" s="602" t="s">
        <v>103</v>
      </c>
      <c r="H75" s="490"/>
      <c r="I75" s="14" t="s">
        <v>8</v>
      </c>
      <c r="J75" s="329"/>
      <c r="L75" s="12"/>
      <c r="O75" s="376"/>
      <c r="P75" s="93"/>
      <c r="Q75" s="93"/>
      <c r="R75" s="93"/>
      <c r="S75" s="93"/>
      <c r="T75" s="93"/>
      <c r="U75" s="93"/>
      <c r="V75" s="93"/>
      <c r="W75" s="93"/>
      <c r="X75" s="93"/>
      <c r="Y75" s="93"/>
      <c r="Z75" s="386"/>
      <c r="AB75" s="329"/>
    </row>
    <row r="76" spans="2:28" ht="17" thickBot="1">
      <c r="B76" s="12"/>
      <c r="J76" s="329"/>
      <c r="L76" s="12"/>
      <c r="M76" s="18"/>
      <c r="N76" s="18"/>
      <c r="O76" s="643" t="s">
        <v>365</v>
      </c>
      <c r="P76" s="644" t="s">
        <v>20</v>
      </c>
      <c r="Q76" s="725" t="s">
        <v>132</v>
      </c>
      <c r="R76" s="745" t="s">
        <v>21</v>
      </c>
      <c r="S76" s="746"/>
      <c r="T76" s="747"/>
      <c r="U76" s="644" t="s">
        <v>133</v>
      </c>
      <c r="V76" s="644" t="s">
        <v>134</v>
      </c>
      <c r="W76" s="644" t="s">
        <v>22</v>
      </c>
      <c r="X76" s="644" t="s">
        <v>23</v>
      </c>
      <c r="Y76" s="644" t="s">
        <v>135</v>
      </c>
      <c r="Z76" s="645" t="s">
        <v>24</v>
      </c>
      <c r="AB76" s="329"/>
    </row>
    <row r="77" spans="2:28" ht="17" thickBot="1">
      <c r="B77" s="376"/>
      <c r="C77" s="93"/>
      <c r="D77" s="93"/>
      <c r="E77" s="93"/>
      <c r="F77" s="93"/>
      <c r="G77" s="93"/>
      <c r="H77" s="93"/>
      <c r="I77" s="93"/>
      <c r="J77" s="386"/>
      <c r="L77" s="12">
        <f>IF(AND($G$69="Yes",$G$14="Simple"),1,0)</f>
        <v>1</v>
      </c>
      <c r="M77" s="18"/>
      <c r="N77" s="309">
        <f>IF(AND($G$14="Simple",SUM(P77:Z77)=1),1,IF(AND($G$14="Simple",SUM(P77:Z77)&lt;&gt;1),2,0))</f>
        <v>1</v>
      </c>
      <c r="O77" s="646" t="str">
        <f t="shared" ref="O77:O82" si="0">E15</f>
        <v>Total Installed Cost</v>
      </c>
      <c r="P77" s="647">
        <v>0.94</v>
      </c>
      <c r="Q77" s="726">
        <v>0</v>
      </c>
      <c r="R77" s="748">
        <v>1.4999999999999999E-2</v>
      </c>
      <c r="S77" s="749"/>
      <c r="T77" s="750"/>
      <c r="U77" s="647">
        <v>0.01</v>
      </c>
      <c r="V77" s="647">
        <v>0</v>
      </c>
      <c r="W77" s="647">
        <v>0</v>
      </c>
      <c r="X77" s="647">
        <v>0.01</v>
      </c>
      <c r="Y77" s="647">
        <v>0</v>
      </c>
      <c r="Z77" s="648">
        <v>2.5000000000000001E-2</v>
      </c>
      <c r="AB77" s="374" t="s">
        <v>8</v>
      </c>
    </row>
    <row r="78" spans="2:28">
      <c r="L78" s="12">
        <f>IF(AND($G$69="Yes",$G$14="Intermediate"),1,0)</f>
        <v>0</v>
      </c>
      <c r="M78" s="18"/>
      <c r="N78" s="309">
        <f>IF(AND($G$14="Intermediate",SUM(P78:Z78)=1),1,IF(AND($G$14="Intermediate",SUM(P78:Z78)&lt;&gt;1),2,0))</f>
        <v>0</v>
      </c>
      <c r="O78" s="649" t="str">
        <f t="shared" si="0"/>
        <v>Generation Equipment</v>
      </c>
      <c r="P78" s="650">
        <v>0.96</v>
      </c>
      <c r="Q78" s="727">
        <v>0</v>
      </c>
      <c r="R78" s="751">
        <v>0.02</v>
      </c>
      <c r="S78" s="752"/>
      <c r="T78" s="753"/>
      <c r="U78" s="650">
        <v>0</v>
      </c>
      <c r="V78" s="650">
        <v>0</v>
      </c>
      <c r="W78" s="650">
        <v>0</v>
      </c>
      <c r="X78" s="650">
        <v>0.02</v>
      </c>
      <c r="Y78" s="650">
        <v>0</v>
      </c>
      <c r="Z78" s="651">
        <v>0</v>
      </c>
      <c r="AB78" s="374" t="s">
        <v>8</v>
      </c>
    </row>
    <row r="79" spans="2:28">
      <c r="L79" s="12">
        <f>IF(AND($G$69="Yes",$G$14="Intermediate"),1,0)</f>
        <v>0</v>
      </c>
      <c r="M79" s="18"/>
      <c r="N79" s="309">
        <f>IF(AND($G$14="Intermediate",SUM(P79:Z79)=1),1,IF(AND($G$14="Intermediate",SUM(P79:Z79)&lt;&gt;1),2,0))</f>
        <v>0</v>
      </c>
      <c r="O79" s="652" t="str">
        <f t="shared" si="0"/>
        <v>Balance of Plant</v>
      </c>
      <c r="P79" s="453">
        <v>0.75</v>
      </c>
      <c r="Q79" s="723">
        <v>0</v>
      </c>
      <c r="R79" s="736">
        <v>0</v>
      </c>
      <c r="S79" s="737"/>
      <c r="T79" s="738"/>
      <c r="U79" s="453">
        <v>0</v>
      </c>
      <c r="V79" s="453">
        <v>0</v>
      </c>
      <c r="W79" s="453">
        <v>0.25</v>
      </c>
      <c r="X79" s="453">
        <v>0</v>
      </c>
      <c r="Y79" s="453">
        <v>0</v>
      </c>
      <c r="Z79" s="653">
        <v>0</v>
      </c>
      <c r="AB79" s="374" t="s">
        <v>8</v>
      </c>
    </row>
    <row r="80" spans="2:28">
      <c r="L80" s="12">
        <f>IF(AND($G$69="Yes",$G$14="Intermediate"),1,0)</f>
        <v>0</v>
      </c>
      <c r="M80" s="18"/>
      <c r="N80" s="309">
        <f>IF(AND($G$14="Intermediate",SUM(P80:Z80)=1),1,IF(AND($G$14="Intermediate",SUM(P80:Z80)&lt;&gt;1),2,0))</f>
        <v>0</v>
      </c>
      <c r="O80" s="652" t="str">
        <f t="shared" si="0"/>
        <v>Interconnection</v>
      </c>
      <c r="P80" s="453">
        <v>0</v>
      </c>
      <c r="Q80" s="723">
        <v>0</v>
      </c>
      <c r="R80" s="736">
        <v>1</v>
      </c>
      <c r="S80" s="737"/>
      <c r="T80" s="738"/>
      <c r="U80" s="453">
        <v>0</v>
      </c>
      <c r="V80" s="453">
        <v>0</v>
      </c>
      <c r="W80" s="453">
        <v>0</v>
      </c>
      <c r="X80" s="453">
        <v>0</v>
      </c>
      <c r="Y80" s="453">
        <v>0</v>
      </c>
      <c r="Z80" s="653">
        <v>0</v>
      </c>
      <c r="AB80" s="374" t="s">
        <v>8</v>
      </c>
    </row>
    <row r="81" spans="2:28">
      <c r="L81" s="12">
        <f>IF(AND($G$69="Yes",$G$14="Intermediate"),1,0)</f>
        <v>0</v>
      </c>
      <c r="M81" s="18"/>
      <c r="N81" s="309">
        <f>IF(AND($G$14="Intermediate",SUM(P81:Z81)=1),1,IF(AND($G$14="Intermediate",SUM(P81:Z81)&lt;&gt;1),2,0))</f>
        <v>0</v>
      </c>
      <c r="O81" s="652" t="str">
        <f t="shared" si="0"/>
        <v>Development Costs &amp; Fee</v>
      </c>
      <c r="P81" s="453">
        <v>0.8</v>
      </c>
      <c r="Q81" s="723">
        <v>0</v>
      </c>
      <c r="R81" s="736">
        <v>0</v>
      </c>
      <c r="S81" s="737"/>
      <c r="T81" s="738"/>
      <c r="U81" s="453">
        <v>0</v>
      </c>
      <c r="V81" s="453">
        <v>0</v>
      </c>
      <c r="W81" s="453">
        <v>0.05</v>
      </c>
      <c r="X81" s="453">
        <v>0.05</v>
      </c>
      <c r="Y81" s="453">
        <v>0</v>
      </c>
      <c r="Z81" s="653">
        <v>0.1</v>
      </c>
      <c r="AB81" s="374" t="s">
        <v>8</v>
      </c>
    </row>
    <row r="82" spans="2:28" ht="17" thickBot="1">
      <c r="L82" s="12">
        <f>IF(AND($G$69="Yes",$G$14="Intermediate"),1,0)</f>
        <v>0</v>
      </c>
      <c r="M82" s="18"/>
      <c r="N82" s="309">
        <f>IF(AND($G$14="Intermediate",SUM(P82:Z82)=1),1,IF(AND($G$14="Intermediate",SUM(P82:Z82)&lt;&gt;1),2,0))</f>
        <v>0</v>
      </c>
      <c r="O82" s="654" t="str">
        <f t="shared" si="0"/>
        <v>Reserves &amp; Financing Costs</v>
      </c>
      <c r="P82" s="655">
        <v>0</v>
      </c>
      <c r="Q82" s="724">
        <v>0</v>
      </c>
      <c r="R82" s="739">
        <v>0</v>
      </c>
      <c r="S82" s="740"/>
      <c r="T82" s="741"/>
      <c r="U82" s="655">
        <v>0</v>
      </c>
      <c r="V82" s="655">
        <v>0</v>
      </c>
      <c r="W82" s="655">
        <v>0</v>
      </c>
      <c r="X82" s="655">
        <v>0.5</v>
      </c>
      <c r="Y82" s="655">
        <v>0</v>
      </c>
      <c r="Z82" s="656">
        <v>0.5</v>
      </c>
      <c r="AB82" s="374" t="s">
        <v>8</v>
      </c>
    </row>
    <row r="83" spans="2:28" ht="17" thickBot="1">
      <c r="L83" s="376">
        <f>IF(AND($G$69="Yes",$G$14="Complex"),1,0)</f>
        <v>0</v>
      </c>
      <c r="M83" s="387"/>
      <c r="N83" s="387"/>
      <c r="O83" s="657" t="s">
        <v>322</v>
      </c>
      <c r="P83" s="658"/>
      <c r="Q83" s="659"/>
      <c r="R83" s="742"/>
      <c r="S83" s="743"/>
      <c r="T83" s="744"/>
      <c r="U83" s="658"/>
      <c r="V83" s="658"/>
      <c r="W83" s="658"/>
      <c r="X83" s="658"/>
      <c r="Y83" s="658"/>
      <c r="Z83" s="660"/>
      <c r="AA83" s="93"/>
      <c r="AB83" s="511" t="s">
        <v>8</v>
      </c>
    </row>
    <row r="85" spans="2:28" ht="17" thickBot="1"/>
    <row r="86" spans="2:28">
      <c r="B86" s="436"/>
      <c r="C86" s="437"/>
      <c r="D86" s="437"/>
      <c r="E86" s="448" t="s">
        <v>303</v>
      </c>
      <c r="F86" s="437"/>
      <c r="G86" s="437"/>
      <c r="H86" s="437"/>
      <c r="I86" s="437"/>
      <c r="J86" s="437"/>
      <c r="K86" s="437"/>
      <c r="L86" s="437"/>
      <c r="M86" s="438"/>
      <c r="N86" s="438"/>
      <c r="O86" s="438"/>
      <c r="P86" s="438"/>
      <c r="Q86" s="438"/>
      <c r="R86" s="438"/>
      <c r="S86" s="438"/>
      <c r="T86" s="438"/>
      <c r="U86" s="438"/>
      <c r="V86" s="437"/>
      <c r="W86" s="437"/>
      <c r="X86" s="437"/>
      <c r="Y86" s="437"/>
      <c r="Z86" s="437"/>
      <c r="AA86" s="437"/>
      <c r="AB86" s="439"/>
    </row>
    <row r="87" spans="2:28">
      <c r="B87" s="440"/>
      <c r="C87" s="434"/>
      <c r="D87" s="434"/>
      <c r="E87" s="441" t="s">
        <v>305</v>
      </c>
      <c r="F87" s="434"/>
      <c r="G87" s="434"/>
      <c r="H87" s="434"/>
      <c r="I87" s="434"/>
      <c r="J87" s="434"/>
      <c r="K87" s="434"/>
      <c r="L87" s="434"/>
      <c r="M87" s="435"/>
      <c r="N87" s="435"/>
      <c r="O87" s="435"/>
      <c r="P87" s="435"/>
      <c r="Q87" s="435"/>
      <c r="R87" s="435"/>
      <c r="S87" s="435"/>
      <c r="T87" s="435"/>
      <c r="U87" s="435"/>
      <c r="V87" s="434"/>
      <c r="W87" s="434"/>
      <c r="X87" s="434"/>
      <c r="Y87" s="434"/>
      <c r="Z87" s="434"/>
      <c r="AA87" s="434"/>
      <c r="AB87" s="442"/>
    </row>
    <row r="88" spans="2:28">
      <c r="B88" s="440"/>
      <c r="C88" s="434"/>
      <c r="D88" s="434"/>
      <c r="E88" s="441" t="s">
        <v>306</v>
      </c>
      <c r="F88" s="434"/>
      <c r="G88" s="434"/>
      <c r="H88" s="434"/>
      <c r="I88" s="434"/>
      <c r="J88" s="434"/>
      <c r="K88" s="434"/>
      <c r="L88" s="434"/>
      <c r="M88" s="435"/>
      <c r="N88" s="435"/>
      <c r="O88" s="435"/>
      <c r="P88" s="435"/>
      <c r="Q88" s="435"/>
      <c r="R88" s="435"/>
      <c r="S88" s="435"/>
      <c r="T88" s="435"/>
      <c r="U88" s="435"/>
      <c r="V88" s="434"/>
      <c r="W88" s="434"/>
      <c r="X88" s="434"/>
      <c r="Y88" s="434"/>
      <c r="Z88" s="434"/>
      <c r="AA88" s="434"/>
      <c r="AB88" s="442"/>
    </row>
    <row r="89" spans="2:28">
      <c r="B89" s="440"/>
      <c r="C89" s="434"/>
      <c r="D89" s="434"/>
      <c r="E89" s="441" t="s">
        <v>319</v>
      </c>
      <c r="F89" s="434"/>
      <c r="G89" s="434"/>
      <c r="H89" s="434"/>
      <c r="I89" s="434"/>
      <c r="J89" s="434"/>
      <c r="K89" s="434"/>
      <c r="L89" s="434"/>
      <c r="M89" s="435"/>
      <c r="N89" s="435"/>
      <c r="O89" s="435"/>
      <c r="P89" s="435"/>
      <c r="Q89" s="435"/>
      <c r="R89" s="435"/>
      <c r="S89" s="435"/>
      <c r="T89" s="435"/>
      <c r="U89" s="435"/>
      <c r="V89" s="434"/>
      <c r="W89" s="434"/>
      <c r="X89" s="434"/>
      <c r="Y89" s="434"/>
      <c r="Z89" s="434"/>
      <c r="AA89" s="434"/>
      <c r="AB89" s="442"/>
    </row>
    <row r="90" spans="2:28">
      <c r="B90" s="440"/>
      <c r="C90" s="434"/>
      <c r="D90" s="434"/>
      <c r="E90" s="441" t="s">
        <v>320</v>
      </c>
      <c r="F90" s="434"/>
      <c r="G90" s="434"/>
      <c r="H90" s="434"/>
      <c r="I90" s="434"/>
      <c r="J90" s="434"/>
      <c r="K90" s="434"/>
      <c r="L90" s="434"/>
      <c r="M90" s="435"/>
      <c r="N90" s="435"/>
      <c r="O90" s="435"/>
      <c r="P90" s="435"/>
      <c r="Q90" s="435"/>
      <c r="R90" s="435"/>
      <c r="S90" s="435"/>
      <c r="T90" s="435"/>
      <c r="U90" s="435"/>
      <c r="V90" s="434"/>
      <c r="W90" s="434"/>
      <c r="X90" s="434"/>
      <c r="Y90" s="434"/>
      <c r="Z90" s="434"/>
      <c r="AA90" s="434"/>
      <c r="AB90" s="442"/>
    </row>
    <row r="91" spans="2:28">
      <c r="B91" s="440"/>
      <c r="C91" s="434"/>
      <c r="D91" s="434"/>
      <c r="E91" s="441" t="s">
        <v>307</v>
      </c>
      <c r="F91" s="434"/>
      <c r="G91" s="434"/>
      <c r="H91" s="434"/>
      <c r="I91" s="434"/>
      <c r="J91" s="434"/>
      <c r="K91" s="434"/>
      <c r="L91" s="434"/>
      <c r="M91" s="435"/>
      <c r="N91" s="435"/>
      <c r="O91" s="435"/>
      <c r="P91" s="435"/>
      <c r="Q91" s="435"/>
      <c r="R91" s="435"/>
      <c r="S91" s="435"/>
      <c r="T91" s="435"/>
      <c r="U91" s="435"/>
      <c r="V91" s="434"/>
      <c r="W91" s="434"/>
      <c r="X91" s="434"/>
      <c r="Y91" s="434"/>
      <c r="Z91" s="434"/>
      <c r="AA91" s="434"/>
      <c r="AB91" s="442"/>
    </row>
    <row r="92" spans="2:28">
      <c r="B92" s="440"/>
      <c r="C92" s="434"/>
      <c r="D92" s="434"/>
      <c r="E92" s="441" t="s">
        <v>308</v>
      </c>
      <c r="F92" s="434"/>
      <c r="G92" s="434"/>
      <c r="H92" s="434"/>
      <c r="I92" s="434"/>
      <c r="J92" s="434"/>
      <c r="K92" s="434"/>
      <c r="L92" s="434"/>
      <c r="M92" s="435"/>
      <c r="N92" s="435"/>
      <c r="O92" s="435"/>
      <c r="P92" s="435"/>
      <c r="Q92" s="435"/>
      <c r="R92" s="435"/>
      <c r="S92" s="435"/>
      <c r="T92" s="435"/>
      <c r="U92" s="435"/>
      <c r="V92" s="434"/>
      <c r="W92" s="434"/>
      <c r="X92" s="434"/>
      <c r="Y92" s="434"/>
      <c r="Z92" s="434"/>
      <c r="AA92" s="434"/>
      <c r="AB92" s="442"/>
    </row>
    <row r="93" spans="2:28">
      <c r="B93" s="440"/>
      <c r="C93" s="434"/>
      <c r="D93" s="434"/>
      <c r="E93" s="441" t="s">
        <v>309</v>
      </c>
      <c r="F93" s="434"/>
      <c r="G93" s="434"/>
      <c r="H93" s="434"/>
      <c r="I93" s="434"/>
      <c r="J93" s="434"/>
      <c r="K93" s="435"/>
      <c r="L93" s="435"/>
      <c r="M93" s="435"/>
      <c r="N93" s="435"/>
      <c r="O93" s="435"/>
      <c r="P93" s="435"/>
      <c r="Q93" s="435"/>
      <c r="R93" s="435"/>
      <c r="S93" s="435"/>
      <c r="T93" s="435"/>
      <c r="U93" s="435"/>
      <c r="V93" s="434"/>
      <c r="W93" s="434"/>
      <c r="X93" s="434"/>
      <c r="Y93" s="434"/>
      <c r="Z93" s="434"/>
      <c r="AA93" s="434"/>
      <c r="AB93" s="442"/>
    </row>
    <row r="94" spans="2:28">
      <c r="B94" s="440"/>
      <c r="C94" s="434"/>
      <c r="D94" s="434"/>
      <c r="E94" s="441" t="s">
        <v>310</v>
      </c>
      <c r="F94" s="434"/>
      <c r="G94" s="434"/>
      <c r="H94" s="434"/>
      <c r="I94" s="434"/>
      <c r="J94" s="434"/>
      <c r="K94" s="435"/>
      <c r="L94" s="435"/>
      <c r="M94" s="435"/>
      <c r="N94" s="435"/>
      <c r="O94" s="435"/>
      <c r="P94" s="435"/>
      <c r="Q94" s="435"/>
      <c r="R94" s="435"/>
      <c r="S94" s="435"/>
      <c r="T94" s="435"/>
      <c r="U94" s="435"/>
      <c r="V94" s="434"/>
      <c r="W94" s="434"/>
      <c r="X94" s="434"/>
      <c r="Y94" s="434"/>
      <c r="Z94" s="434"/>
      <c r="AA94" s="434"/>
      <c r="AB94" s="442"/>
    </row>
    <row r="95" spans="2:28">
      <c r="B95" s="440"/>
      <c r="C95" s="434"/>
      <c r="D95" s="434"/>
      <c r="E95" s="441" t="s">
        <v>311</v>
      </c>
      <c r="F95" s="434"/>
      <c r="G95" s="434"/>
      <c r="H95" s="434"/>
      <c r="I95" s="434"/>
      <c r="J95" s="434"/>
      <c r="K95" s="435"/>
      <c r="L95" s="435"/>
      <c r="M95" s="435"/>
      <c r="N95" s="435"/>
      <c r="O95" s="435"/>
      <c r="P95" s="435"/>
      <c r="Q95" s="435"/>
      <c r="R95" s="435"/>
      <c r="S95" s="435"/>
      <c r="T95" s="435"/>
      <c r="U95" s="435"/>
      <c r="V95" s="434"/>
      <c r="W95" s="434"/>
      <c r="X95" s="434"/>
      <c r="Y95" s="434"/>
      <c r="Z95" s="434"/>
      <c r="AA95" s="434"/>
      <c r="AB95" s="442"/>
    </row>
    <row r="96" spans="2:28" ht="17" thickBot="1">
      <c r="B96" s="443"/>
      <c r="C96" s="444"/>
      <c r="D96" s="444"/>
      <c r="E96" s="445" t="s">
        <v>304</v>
      </c>
      <c r="F96" s="444"/>
      <c r="G96" s="444"/>
      <c r="H96" s="444"/>
      <c r="I96" s="444"/>
      <c r="J96" s="444"/>
      <c r="K96" s="446"/>
      <c r="L96" s="446"/>
      <c r="M96" s="446"/>
      <c r="N96" s="446"/>
      <c r="O96" s="446"/>
      <c r="P96" s="446"/>
      <c r="Q96" s="446"/>
      <c r="R96" s="446"/>
      <c r="S96" s="446"/>
      <c r="T96" s="446"/>
      <c r="U96" s="446"/>
      <c r="V96" s="444"/>
      <c r="W96" s="444"/>
      <c r="X96" s="444"/>
      <c r="Y96" s="444"/>
      <c r="Z96" s="444"/>
      <c r="AA96" s="444"/>
      <c r="AB96" s="447"/>
    </row>
    <row r="97" spans="1:29" s="675" customFormat="1">
      <c r="E97" s="676"/>
      <c r="K97" s="677"/>
    </row>
    <row r="98" spans="1:29">
      <c r="A98" s="675"/>
      <c r="B98" s="675"/>
      <c r="C98" s="675"/>
      <c r="D98" s="680"/>
      <c r="E98" s="681"/>
      <c r="F98" s="675"/>
      <c r="G98" s="675"/>
      <c r="H98" s="675"/>
      <c r="I98" s="675"/>
      <c r="J98" s="675"/>
      <c r="K98" s="675"/>
      <c r="AC98" s="675"/>
    </row>
    <row r="99" spans="1:29">
      <c r="A99" s="675"/>
      <c r="B99" s="675"/>
      <c r="C99" s="675"/>
      <c r="D99" s="675"/>
      <c r="E99" s="682"/>
      <c r="F99" s="675"/>
      <c r="G99" s="683"/>
      <c r="H99" s="675"/>
      <c r="I99" s="675"/>
      <c r="J99" s="675"/>
      <c r="K99" s="675"/>
      <c r="AC99" s="675"/>
    </row>
    <row r="100" spans="1:29">
      <c r="A100" s="675"/>
      <c r="B100" s="675"/>
      <c r="C100" s="675"/>
      <c r="D100" s="675"/>
      <c r="E100" s="682"/>
      <c r="F100" s="675"/>
      <c r="G100" s="683"/>
      <c r="H100" s="675"/>
      <c r="I100" s="675"/>
      <c r="J100" s="675"/>
      <c r="K100" s="675"/>
      <c r="L100" s="675"/>
      <c r="M100" s="684"/>
      <c r="N100" s="675"/>
      <c r="O100" s="675"/>
      <c r="P100" s="675"/>
      <c r="Q100" s="675"/>
      <c r="R100" s="675"/>
      <c r="S100" s="675"/>
      <c r="T100" s="675"/>
      <c r="U100" s="675"/>
      <c r="V100" s="675"/>
      <c r="W100" s="675"/>
      <c r="X100" s="675"/>
      <c r="Y100" s="675"/>
      <c r="Z100" s="675"/>
      <c r="AA100" s="675"/>
      <c r="AB100" s="675"/>
      <c r="AC100" s="675"/>
    </row>
    <row r="101" spans="1:29">
      <c r="A101" s="675"/>
      <c r="B101" s="675"/>
      <c r="C101" s="675"/>
      <c r="D101" s="675"/>
      <c r="E101" s="682"/>
      <c r="F101" s="675"/>
      <c r="G101" s="683"/>
      <c r="H101" s="675"/>
      <c r="I101" s="675"/>
      <c r="J101" s="675"/>
      <c r="K101" s="675"/>
      <c r="L101" s="18"/>
      <c r="S101" s="18"/>
      <c r="T101" s="454">
        <f>IF(AND($Q$18="Cost-Based",$Q$19="ITC"),1,0)</f>
        <v>0</v>
      </c>
      <c r="U101" s="675"/>
      <c r="V101" s="675"/>
      <c r="W101" s="675"/>
      <c r="X101" s="675"/>
      <c r="Y101" s="675"/>
      <c r="Z101" s="675"/>
      <c r="AA101" s="675"/>
      <c r="AB101" s="675"/>
      <c r="AC101" s="675"/>
    </row>
    <row r="102" spans="1:29">
      <c r="A102" s="675"/>
      <c r="B102" s="675"/>
      <c r="C102" s="675"/>
      <c r="D102" s="675"/>
      <c r="E102" s="682"/>
      <c r="F102" s="675"/>
      <c r="G102" s="683"/>
      <c r="H102" s="675"/>
      <c r="I102" s="675"/>
      <c r="J102" s="675"/>
      <c r="K102" s="675"/>
      <c r="L102" s="18"/>
      <c r="R102" s="18"/>
      <c r="S102" s="18"/>
      <c r="T102" s="18"/>
      <c r="U102" s="675"/>
      <c r="V102" s="675"/>
      <c r="W102" s="675"/>
      <c r="X102" s="675"/>
      <c r="Y102" s="675"/>
      <c r="Z102" s="675"/>
      <c r="AA102" s="675"/>
      <c r="AB102" s="675"/>
      <c r="AC102" s="675"/>
    </row>
    <row r="103" spans="1:29">
      <c r="A103" s="675"/>
      <c r="B103" s="675"/>
      <c r="C103" s="675"/>
      <c r="D103" s="675"/>
      <c r="E103" s="675"/>
      <c r="F103" s="675"/>
      <c r="G103" s="675"/>
      <c r="H103" s="675"/>
      <c r="I103" s="675"/>
      <c r="J103" s="675"/>
      <c r="K103" s="675"/>
      <c r="L103" s="18"/>
      <c r="R103" s="18"/>
      <c r="S103" s="18"/>
      <c r="T103" s="18"/>
      <c r="U103" s="675"/>
      <c r="V103" s="675"/>
      <c r="W103" s="675"/>
      <c r="X103" s="675"/>
      <c r="Y103" s="675"/>
      <c r="Z103" s="675"/>
      <c r="AA103" s="675"/>
      <c r="AB103" s="675"/>
      <c r="AC103" s="675"/>
    </row>
    <row r="104" spans="1:29">
      <c r="L104" s="18"/>
      <c r="R104" s="18"/>
      <c r="S104" s="18"/>
      <c r="T104" s="25"/>
    </row>
  </sheetData>
  <protectedRanges>
    <protectedRange sqref="Q7:Q9 Q12:Q14 Q23:Q24 Q18:Q20 Q26:Q29" name="Column Q Inputs 1"/>
    <protectedRange sqref="G7:G8 G10:G11 G14:G19 G26:G32 G42:G43 G54 G58 G60 G69:G73 G34:G38 G47:G51" name="Column G Inputs"/>
    <protectedRange sqref="Q37:Q40 Q60:Q61 Q65 Q68 Q49:Q56 Q32:Q33 Q35 Q42:Q46" name="Column Q Inputs 2"/>
    <protectedRange sqref="P73:P74 P77:Z82" name="Depreciation Inputs"/>
    <protectedRange sqref="Q44" name="Column Q Inputs"/>
  </protectedRanges>
  <mergeCells count="10">
    <mergeCell ref="O4:P4"/>
    <mergeCell ref="C2:T2"/>
    <mergeCell ref="R81:T81"/>
    <mergeCell ref="R82:T82"/>
    <mergeCell ref="R83:T83"/>
    <mergeCell ref="R76:T76"/>
    <mergeCell ref="R77:T77"/>
    <mergeCell ref="R78:T78"/>
    <mergeCell ref="R79:T79"/>
    <mergeCell ref="R80:T80"/>
  </mergeCells>
  <conditionalFormatting sqref="C14">
    <cfRule type="expression" dxfId="144" priority="563">
      <formula>$G$14&lt;&gt;""</formula>
    </cfRule>
  </conditionalFormatting>
  <conditionalFormatting sqref="C27">
    <cfRule type="expression" dxfId="143" priority="557">
      <formula>$G$27&gt;=0</formula>
    </cfRule>
  </conditionalFormatting>
  <conditionalFormatting sqref="C15">
    <cfRule type="expression" dxfId="142" priority="384">
      <formula>AND($G$14="Simple",$G$15&gt;0)</formula>
    </cfRule>
    <cfRule type="expression" dxfId="141" priority="554">
      <formula>AND($G$14="Simple",$G$15&lt;=0)</formula>
    </cfRule>
  </conditionalFormatting>
  <conditionalFormatting sqref="C16">
    <cfRule type="expression" dxfId="140" priority="383">
      <formula>AND($G$14="Intermediate",$G$16&gt;0)</formula>
    </cfRule>
    <cfRule type="expression" dxfId="139" priority="553">
      <formula>AND($G$14="Intermediate",$G$16&lt;=0)</formula>
    </cfRule>
  </conditionalFormatting>
  <conditionalFormatting sqref="C70">
    <cfRule type="expression" dxfId="138" priority="137">
      <formula>$G$69="No"</formula>
    </cfRule>
    <cfRule type="expression" dxfId="137" priority="138">
      <formula>$D$70=1</formula>
    </cfRule>
  </conditionalFormatting>
  <conditionalFormatting sqref="C58">
    <cfRule type="expression" dxfId="136" priority="375">
      <formula>$D$58=1</formula>
    </cfRule>
  </conditionalFormatting>
  <conditionalFormatting sqref="L28 G21:H21 K24">
    <cfRule type="expression" dxfId="135" priority="717">
      <formula>$G$14="Complex"</formula>
    </cfRule>
  </conditionalFormatting>
  <conditionalFormatting sqref="C47">
    <cfRule type="expression" dxfId="134" priority="377">
      <formula>$D$47=1</formula>
    </cfRule>
  </conditionalFormatting>
  <conditionalFormatting sqref="E7:I7">
    <cfRule type="expression" dxfId="133" priority="405">
      <formula>#REF!="Solar Thermal Electric"</formula>
    </cfRule>
  </conditionalFormatting>
  <conditionalFormatting sqref="M9">
    <cfRule type="expression" dxfId="132" priority="400">
      <formula>$Q$9&lt;&gt;""</formula>
    </cfRule>
  </conditionalFormatting>
  <conditionalFormatting sqref="M8">
    <cfRule type="expression" dxfId="131" priority="399">
      <formula>$Q$8&lt;&gt;""</formula>
    </cfRule>
  </conditionalFormatting>
  <conditionalFormatting sqref="E36:G36 E37:H39 E32:H35">
    <cfRule type="expression" dxfId="130" priority="395">
      <formula>$G$26="Simple"</formula>
    </cfRule>
  </conditionalFormatting>
  <conditionalFormatting sqref="C21">
    <cfRule type="expression" dxfId="129" priority="381">
      <formula>AND($G$14="Complex",$G$21&gt;0)</formula>
    </cfRule>
    <cfRule type="expression" dxfId="128" priority="382">
      <formula>$G$14="Complex"</formula>
    </cfRule>
  </conditionalFormatting>
  <conditionalFormatting sqref="C29">
    <cfRule type="expression" dxfId="127" priority="380">
      <formula>$G$29&gt;0</formula>
    </cfRule>
  </conditionalFormatting>
  <conditionalFormatting sqref="C30">
    <cfRule type="expression" dxfId="126" priority="379">
      <formula>AND($G$30&gt;0,$G$30&lt;=$G$11)</formula>
    </cfRule>
  </conditionalFormatting>
  <conditionalFormatting sqref="C31">
    <cfRule type="expression" dxfId="125" priority="378">
      <formula>$G$31&gt;0</formula>
    </cfRule>
  </conditionalFormatting>
  <conditionalFormatting sqref="G53">
    <cfRule type="expression" dxfId="124" priority="362">
      <formula>$G$53="Fail"</formula>
    </cfRule>
  </conditionalFormatting>
  <conditionalFormatting sqref="O61:Q61 S61">
    <cfRule type="expression" dxfId="123" priority="357">
      <formula>$Q$60="Salvage"</formula>
    </cfRule>
  </conditionalFormatting>
  <conditionalFormatting sqref="E42:G44">
    <cfRule type="expression" dxfId="122" priority="335">
      <formula>$G$14="Simple"</formula>
    </cfRule>
  </conditionalFormatting>
  <conditionalFormatting sqref="G56">
    <cfRule type="expression" dxfId="121" priority="303">
      <formula>$G$56="Fail"</formula>
    </cfRule>
  </conditionalFormatting>
  <conditionalFormatting sqref="G15">
    <cfRule type="expression" dxfId="120" priority="267">
      <formula>$G$14="Simple"</formula>
    </cfRule>
  </conditionalFormatting>
  <conditionalFormatting sqref="G20 E16:F20">
    <cfRule type="expression" dxfId="119" priority="266">
      <formula>$G$14="Intermediate"</formula>
    </cfRule>
  </conditionalFormatting>
  <conditionalFormatting sqref="G16 G18:G19">
    <cfRule type="expression" dxfId="118" priority="255">
      <formula>$G$14="Intermediate"</formula>
    </cfRule>
  </conditionalFormatting>
  <conditionalFormatting sqref="G17">
    <cfRule type="expression" dxfId="117" priority="253">
      <formula>$G$14="Intermediate"</formula>
    </cfRule>
    <cfRule type="expression" dxfId="116" priority="254">
      <formula>$G$14="Intermediate"</formula>
    </cfRule>
  </conditionalFormatting>
  <conditionalFormatting sqref="E48:G56 I48:I56">
    <cfRule type="expression" dxfId="115" priority="249">
      <formula>$G$47=0</formula>
    </cfRule>
  </conditionalFormatting>
  <conditionalFormatting sqref="O13:P13">
    <cfRule type="expression" dxfId="114" priority="242">
      <formula>$T$13=1</formula>
    </cfRule>
  </conditionalFormatting>
  <conditionalFormatting sqref="O14:P14">
    <cfRule type="expression" dxfId="113" priority="241">
      <formula>$T$14=1</formula>
    </cfRule>
  </conditionalFormatting>
  <conditionalFormatting sqref="O15">
    <cfRule type="expression" dxfId="112" priority="240">
      <formula>$T$15=1</formula>
    </cfRule>
  </conditionalFormatting>
  <conditionalFormatting sqref="Q13">
    <cfRule type="expression" dxfId="111" priority="237">
      <formula>$T$13=1</formula>
    </cfRule>
  </conditionalFormatting>
  <conditionalFormatting sqref="Q14">
    <cfRule type="expression" dxfId="110" priority="236">
      <formula>$T$14=1</formula>
    </cfRule>
  </conditionalFormatting>
  <conditionalFormatting sqref="P15:Q15">
    <cfRule type="expression" dxfId="109" priority="235">
      <formula>$T$15=1</formula>
    </cfRule>
  </conditionalFormatting>
  <conditionalFormatting sqref="O12:P12">
    <cfRule type="expression" dxfId="108" priority="233">
      <formula>$T$12=1</formula>
    </cfRule>
  </conditionalFormatting>
  <conditionalFormatting sqref="Q12">
    <cfRule type="expression" dxfId="107" priority="232">
      <formula>$T$12=1</formula>
    </cfRule>
  </conditionalFormatting>
  <conditionalFormatting sqref="O22:Q22 S22 M100 O19:Q20 S19:S20">
    <cfRule type="expression" dxfId="106" priority="220">
      <formula>$T$18=1</formula>
    </cfRule>
  </conditionalFormatting>
  <conditionalFormatting sqref="S26:S27 O26:Q27 S23:S24 O23:Q24">
    <cfRule type="expression" dxfId="105" priority="219">
      <formula>$R$18=1</formula>
    </cfRule>
  </conditionalFormatting>
  <conditionalFormatting sqref="I15">
    <cfRule type="expression" dxfId="104" priority="208">
      <formula>$G$14="Simple"</formula>
    </cfRule>
  </conditionalFormatting>
  <conditionalFormatting sqref="I21">
    <cfRule type="expression" dxfId="103" priority="207">
      <formula>$G$14="Complex"</formula>
    </cfRule>
  </conditionalFormatting>
  <conditionalFormatting sqref="I16:I20">
    <cfRule type="expression" dxfId="102" priority="206">
      <formula>$G$14="Intermediate"</formula>
    </cfRule>
  </conditionalFormatting>
  <conditionalFormatting sqref="I32:I39">
    <cfRule type="expression" dxfId="101" priority="205">
      <formula>$G$26="Intermediate"</formula>
    </cfRule>
  </conditionalFormatting>
  <conditionalFormatting sqref="E15:F15">
    <cfRule type="expression" dxfId="100" priority="199">
      <formula>$G$14="Simple"</formula>
    </cfRule>
  </conditionalFormatting>
  <conditionalFormatting sqref="F21">
    <cfRule type="expression" dxfId="99" priority="196">
      <formula>$G$14="Complex"</formula>
    </cfRule>
  </conditionalFormatting>
  <conditionalFormatting sqref="E21">
    <cfRule type="expression" dxfId="98" priority="195">
      <formula>$G$14="Complex"</formula>
    </cfRule>
  </conditionalFormatting>
  <conditionalFormatting sqref="S12">
    <cfRule type="expression" dxfId="97" priority="184">
      <formula>$T$12=1</formula>
    </cfRule>
  </conditionalFormatting>
  <conditionalFormatting sqref="S13">
    <cfRule type="expression" dxfId="96" priority="183">
      <formula>$T$13=1</formula>
    </cfRule>
  </conditionalFormatting>
  <conditionalFormatting sqref="S14">
    <cfRule type="expression" dxfId="95" priority="182">
      <formula>$T$14=1</formula>
    </cfRule>
  </conditionalFormatting>
  <conditionalFormatting sqref="S15">
    <cfRule type="expression" dxfId="94" priority="181">
      <formula>$T$15=1</formula>
    </cfRule>
  </conditionalFormatting>
  <conditionalFormatting sqref="C53">
    <cfRule type="expression" dxfId="93" priority="180">
      <formula>$G$53="Fail"</formula>
    </cfRule>
  </conditionalFormatting>
  <conditionalFormatting sqref="C56">
    <cfRule type="expression" dxfId="92" priority="179">
      <formula>$G$56="Fail"</formula>
    </cfRule>
  </conditionalFormatting>
  <conditionalFormatting sqref="E59:G59">
    <cfRule type="expression" dxfId="91" priority="178">
      <formula>$G$47=0%</formula>
    </cfRule>
  </conditionalFormatting>
  <conditionalFormatting sqref="C8">
    <cfRule type="expression" dxfId="90" priority="174">
      <formula>$D$8=1</formula>
    </cfRule>
  </conditionalFormatting>
  <conditionalFormatting sqref="C10">
    <cfRule type="expression" dxfId="89" priority="173">
      <formula>$D$10=1</formula>
    </cfRule>
  </conditionalFormatting>
  <conditionalFormatting sqref="M7">
    <cfRule type="expression" dxfId="88" priority="172">
      <formula>$N$7=1</formula>
    </cfRule>
  </conditionalFormatting>
  <conditionalFormatting sqref="C7">
    <cfRule type="expression" dxfId="87" priority="170">
      <formula>$G$7&gt;0</formula>
    </cfRule>
  </conditionalFormatting>
  <conditionalFormatting sqref="C26">
    <cfRule type="expression" dxfId="86" priority="163">
      <formula>$G$26&lt;&gt;""</formula>
    </cfRule>
  </conditionalFormatting>
  <conditionalFormatting sqref="C42">
    <cfRule type="expression" dxfId="85" priority="144">
      <formula>$G$14="Simple"</formula>
    </cfRule>
    <cfRule type="expression" dxfId="84" priority="162">
      <formula>$G$42&lt;=0</formula>
    </cfRule>
  </conditionalFormatting>
  <conditionalFormatting sqref="C43">
    <cfRule type="expression" dxfId="83" priority="143">
      <formula>$G$14="Simple"</formula>
    </cfRule>
    <cfRule type="expression" dxfId="82" priority="159">
      <formula>AND($G$14="Intermediate",$G$43&gt;=0)</formula>
    </cfRule>
  </conditionalFormatting>
  <conditionalFormatting sqref="C48">
    <cfRule type="expression" dxfId="81" priority="142">
      <formula>$G$47=0</formula>
    </cfRule>
    <cfRule type="expression" dxfId="80" priority="158">
      <formula>$D$48=1</formula>
    </cfRule>
  </conditionalFormatting>
  <conditionalFormatting sqref="C49">
    <cfRule type="expression" dxfId="79" priority="155">
      <formula>$D$49=1</formula>
    </cfRule>
  </conditionalFormatting>
  <conditionalFormatting sqref="C51">
    <cfRule type="expression" dxfId="78" priority="154">
      <formula>$G$51&lt;1</formula>
    </cfRule>
  </conditionalFormatting>
  <conditionalFormatting sqref="C54">
    <cfRule type="expression" dxfId="77" priority="153">
      <formula>$G$54&lt;1</formula>
    </cfRule>
  </conditionalFormatting>
  <conditionalFormatting sqref="C50">
    <cfRule type="expression" dxfId="76" priority="152">
      <formula>$D$50=1</formula>
    </cfRule>
  </conditionalFormatting>
  <conditionalFormatting sqref="C53:C54 C56 C48:C51">
    <cfRule type="expression" dxfId="75" priority="141">
      <formula>$G$47=0</formula>
    </cfRule>
  </conditionalFormatting>
  <conditionalFormatting sqref="C60">
    <cfRule type="expression" dxfId="74" priority="140">
      <formula>$G$60&lt;0</formula>
    </cfRule>
  </conditionalFormatting>
  <conditionalFormatting sqref="C69">
    <cfRule type="expression" dxfId="73" priority="139">
      <formula>$G$69=""</formula>
    </cfRule>
  </conditionalFormatting>
  <conditionalFormatting sqref="C72">
    <cfRule type="expression" dxfId="72" priority="130">
      <formula>$G$69="No"</formula>
    </cfRule>
    <cfRule type="expression" dxfId="71" priority="131">
      <formula>$D$72=1</formula>
    </cfRule>
  </conditionalFormatting>
  <conditionalFormatting sqref="C71">
    <cfRule type="expression" dxfId="70" priority="129">
      <formula>$G$71=""</formula>
    </cfRule>
  </conditionalFormatting>
  <conditionalFormatting sqref="C73">
    <cfRule type="expression" dxfId="69" priority="128">
      <formula>$G$73=""</formula>
    </cfRule>
  </conditionalFormatting>
  <conditionalFormatting sqref="M12">
    <cfRule type="expression" dxfId="68" priority="126">
      <formula>$Q$12=""</formula>
    </cfRule>
  </conditionalFormatting>
  <conditionalFormatting sqref="M13">
    <cfRule type="expression" dxfId="67" priority="125">
      <formula>$N$13=1</formula>
    </cfRule>
  </conditionalFormatting>
  <conditionalFormatting sqref="M14">
    <cfRule type="expression" dxfId="66" priority="124">
      <formula>$N$14=1</formula>
    </cfRule>
  </conditionalFormatting>
  <conditionalFormatting sqref="M18">
    <cfRule type="expression" dxfId="65" priority="123">
      <formula>$Q$18=""</formula>
    </cfRule>
  </conditionalFormatting>
  <conditionalFormatting sqref="M19">
    <cfRule type="expression" dxfId="64" priority="122">
      <formula>$Q$19=""</formula>
    </cfRule>
  </conditionalFormatting>
  <conditionalFormatting sqref="M23">
    <cfRule type="expression" dxfId="63" priority="121">
      <formula>$Q$23=""</formula>
    </cfRule>
  </conditionalFormatting>
  <conditionalFormatting sqref="M20 M46 M55 M60 M49 M51 M53 M29 M32:M33 M37">
    <cfRule type="expression" dxfId="62" priority="120">
      <formula>$N20=1</formula>
    </cfRule>
  </conditionalFormatting>
  <conditionalFormatting sqref="M24">
    <cfRule type="expression" dxfId="61" priority="112">
      <formula>$Q$24&lt;0</formula>
    </cfRule>
  </conditionalFormatting>
  <conditionalFormatting sqref="M26">
    <cfRule type="expression" dxfId="60" priority="111">
      <formula>$N$26=1</formula>
    </cfRule>
  </conditionalFormatting>
  <conditionalFormatting sqref="M27">
    <cfRule type="expression" dxfId="59" priority="110">
      <formula>$Q$27=""</formula>
    </cfRule>
  </conditionalFormatting>
  <conditionalFormatting sqref="M44 M65 M68 M28">
    <cfRule type="expression" dxfId="58" priority="108">
      <formula>$Q28&lt;0</formula>
    </cfRule>
  </conditionalFormatting>
  <conditionalFormatting sqref="M35">
    <cfRule type="expression" dxfId="57" priority="104">
      <formula>$N$35=1</formula>
    </cfRule>
  </conditionalFormatting>
  <conditionalFormatting sqref="M40">
    <cfRule type="expression" dxfId="56" priority="103">
      <formula>$Q$40&lt;0</formula>
    </cfRule>
  </conditionalFormatting>
  <conditionalFormatting sqref="M42">
    <cfRule type="expression" dxfId="55" priority="102">
      <formula>$N$42=1</formula>
    </cfRule>
  </conditionalFormatting>
  <conditionalFormatting sqref="M43">
    <cfRule type="expression" dxfId="54" priority="101">
      <formula>$Q$43=""</formula>
    </cfRule>
  </conditionalFormatting>
  <conditionalFormatting sqref="M50 M52 M54 M56">
    <cfRule type="expression" dxfId="53" priority="97">
      <formula>$Q50&gt;=0</formula>
    </cfRule>
  </conditionalFormatting>
  <conditionalFormatting sqref="M61">
    <cfRule type="expression" dxfId="52" priority="85">
      <formula>$Q$60="Salvage"</formula>
    </cfRule>
    <cfRule type="expression" dxfId="51" priority="95">
      <formula>$Q$61&lt;0</formula>
    </cfRule>
  </conditionalFormatting>
  <conditionalFormatting sqref="M70">
    <cfRule type="expression" dxfId="50" priority="92">
      <formula>$Q$70&lt;0</formula>
    </cfRule>
  </conditionalFormatting>
  <conditionalFormatting sqref="M19:M20">
    <cfRule type="expression" dxfId="49" priority="91">
      <formula>$Q$18="Performance-Based"</formula>
    </cfRule>
  </conditionalFormatting>
  <conditionalFormatting sqref="M26:M27 M23:M24">
    <cfRule type="expression" dxfId="48" priority="89">
      <formula>$Q$18="Cost-Based"</formula>
    </cfRule>
  </conditionalFormatting>
  <conditionalFormatting sqref="M37 M42:M43 M40">
    <cfRule type="expression" dxfId="47" priority="86">
      <formula>$R$37=1</formula>
    </cfRule>
  </conditionalFormatting>
  <conditionalFormatting sqref="M77">
    <cfRule type="expression" dxfId="46" priority="81">
      <formula>$N$77=2</formula>
    </cfRule>
    <cfRule type="expression" dxfId="45" priority="82">
      <formula>$N$77=1</formula>
    </cfRule>
  </conditionalFormatting>
  <conditionalFormatting sqref="M78:M82">
    <cfRule type="expression" dxfId="44" priority="77">
      <formula>$N78=2</formula>
    </cfRule>
    <cfRule type="expression" dxfId="43" priority="78">
      <formula>$N78=1</formula>
    </cfRule>
  </conditionalFormatting>
  <conditionalFormatting sqref="AB77:AB83 O77:R82 U77:Z82">
    <cfRule type="expression" dxfId="42" priority="76">
      <formula>$L77=0</formula>
    </cfRule>
  </conditionalFormatting>
  <conditionalFormatting sqref="O83:R83 U83:Z83">
    <cfRule type="expression" dxfId="41" priority="71">
      <formula>$L$83=0</formula>
    </cfRule>
  </conditionalFormatting>
  <conditionalFormatting sqref="C17:C19">
    <cfRule type="expression" dxfId="40" priority="69">
      <formula>$G17&lt;0</formula>
    </cfRule>
  </conditionalFormatting>
  <conditionalFormatting sqref="C32 C34:C38">
    <cfRule type="expression" dxfId="39" priority="66">
      <formula>$G$26="Simple"</formula>
    </cfRule>
  </conditionalFormatting>
  <conditionalFormatting sqref="C32 C34:C35 C37:C38">
    <cfRule type="expression" dxfId="38" priority="63">
      <formula>$G32&lt;0</formula>
    </cfRule>
    <cfRule type="expression" dxfId="37" priority="64">
      <formula>$G32&lt;0</formula>
    </cfRule>
  </conditionalFormatting>
  <conditionalFormatting sqref="C36">
    <cfRule type="expression" dxfId="36" priority="52">
      <formula>$G$36=""</formula>
    </cfRule>
  </conditionalFormatting>
  <conditionalFormatting sqref="C28">
    <cfRule type="expression" dxfId="35" priority="51">
      <formula>$G$28&lt;0</formula>
    </cfRule>
  </conditionalFormatting>
  <conditionalFormatting sqref="C11">
    <cfRule type="expression" dxfId="34" priority="50">
      <formula>$D$11=1</formula>
    </cfRule>
  </conditionalFormatting>
  <conditionalFormatting sqref="I53 I56">
    <cfRule type="expression" dxfId="33" priority="38">
      <formula>$G53="Fail"</formula>
    </cfRule>
  </conditionalFormatting>
  <conditionalFormatting sqref="E53">
    <cfRule type="expression" dxfId="32" priority="33">
      <formula>$G$53="Fail"</formula>
    </cfRule>
  </conditionalFormatting>
  <conditionalFormatting sqref="E56">
    <cfRule type="expression" dxfId="31" priority="32">
      <formula>$G$56="Fail"</formula>
    </cfRule>
  </conditionalFormatting>
  <conditionalFormatting sqref="S37:S38 O42:Q43 O40:Q40 O37:Q38 S42:S43 S40">
    <cfRule type="expression" dxfId="30" priority="30">
      <formula>$R$37=1</formula>
    </cfRule>
  </conditionalFormatting>
  <conditionalFormatting sqref="O39:Q39 S39">
    <cfRule type="expression" dxfId="29" priority="2686">
      <formula>$R$39=1</formula>
    </cfRule>
  </conditionalFormatting>
  <conditionalFormatting sqref="M12:M14">
    <cfRule type="expression" dxfId="28" priority="2764">
      <formula>$G$11=$Q$7</formula>
    </cfRule>
  </conditionalFormatting>
  <conditionalFormatting sqref="L23 K18">
    <cfRule type="expression" dxfId="27" priority="2765">
      <formula>$G$14="Simple"</formula>
    </cfRule>
  </conditionalFormatting>
  <conditionalFormatting sqref="L26:L27 L24 K19:K23">
    <cfRule type="expression" dxfId="26" priority="2767">
      <formula>$G$14="Intermediate"</formula>
    </cfRule>
  </conditionalFormatting>
  <conditionalFormatting sqref="E70:G75 I70:I75">
    <cfRule type="expression" dxfId="25" priority="2769">
      <formula>$G$69="No"</formula>
    </cfRule>
  </conditionalFormatting>
  <conditionalFormatting sqref="M74">
    <cfRule type="expression" dxfId="24" priority="19">
      <formula>$P$73="No"</formula>
    </cfRule>
    <cfRule type="expression" dxfId="23" priority="20">
      <formula>$P$74&lt;0</formula>
    </cfRule>
  </conditionalFormatting>
  <conditionalFormatting sqref="O74:P74">
    <cfRule type="expression" dxfId="22" priority="18">
      <formula>$P$73="No"</formula>
    </cfRule>
  </conditionalFormatting>
  <conditionalFormatting sqref="S74">
    <cfRule type="expression" dxfId="21" priority="17">
      <formula>$P$74="No"</formula>
    </cfRule>
  </conditionalFormatting>
  <conditionalFormatting sqref="M73">
    <cfRule type="expression" dxfId="20" priority="16">
      <formula>$P$73=""</formula>
    </cfRule>
  </conditionalFormatting>
  <conditionalFormatting sqref="O38:Q38 S38">
    <cfRule type="expression" dxfId="19" priority="8">
      <formula>$R$38=1</formula>
    </cfRule>
  </conditionalFormatting>
  <conditionalFormatting sqref="O38:Q38">
    <cfRule type="expression" dxfId="18" priority="7">
      <formula>$Q$38="No"</formula>
    </cfRule>
  </conditionalFormatting>
  <conditionalFormatting sqref="M35 M33">
    <cfRule type="expression" dxfId="17" priority="4166">
      <formula>$R$33=1</formula>
    </cfRule>
  </conditionalFormatting>
  <conditionalFormatting sqref="S35:S36 O35:Q36 S33 O33:Q33">
    <cfRule type="expression" dxfId="16" priority="4181">
      <formula>$R$33=1</formula>
    </cfRule>
  </conditionalFormatting>
  <conditionalFormatting sqref="M39">
    <cfRule type="expression" dxfId="15" priority="4326">
      <formula>$Q$37="Tax Credit"</formula>
    </cfRule>
    <cfRule type="expression" dxfId="14" priority="4327">
      <formula>$Q39=""</formula>
    </cfRule>
  </conditionalFormatting>
  <conditionalFormatting sqref="O41:Q41">
    <cfRule type="expression" dxfId="13" priority="4">
      <formula>$R$37=1</formula>
    </cfRule>
  </conditionalFormatting>
  <conditionalFormatting sqref="O34:Q34">
    <cfRule type="expression" dxfId="12" priority="3">
      <formula>$R$33=1</formula>
    </cfRule>
  </conditionalFormatting>
  <conditionalFormatting sqref="O25:Q25">
    <cfRule type="expression" dxfId="11" priority="2">
      <formula>$R$18=1</formula>
    </cfRule>
  </conditionalFormatting>
  <conditionalFormatting sqref="O21:Q21">
    <cfRule type="expression" dxfId="10" priority="1">
      <formula>$T$18=1</formula>
    </cfRule>
  </conditionalFormatting>
  <dataValidations count="13">
    <dataValidation type="decimal" errorStyle="warning" operator="greaterThanOrEqual" allowBlank="1" showInputMessage="1" showErrorMessage="1" errorTitle="Project Fails to Meet DSCR" error="This project's cash flow is insufficient to support the amount of user-defined debt, and fails to meet the lender's requirements.    _x000a_Please read the note field(s) highlighted in yellow for options to cure this deficiency._x000a_" sqref="G55" xr:uid="{00000000-0002-0000-0100-000000000000}">
      <formula1>G54</formula1>
    </dataValidation>
    <dataValidation type="list" allowBlank="1" showInputMessage="1" showErrorMessage="1" sqref="Q39 Q29 P73 G69 Q46" xr:uid="{00000000-0002-0000-0100-000001000000}">
      <formula1>"Yes, No"</formula1>
    </dataValidation>
    <dataValidation type="list" allowBlank="1" showInputMessage="1" showErrorMessage="1" sqref="Q37 Q23" xr:uid="{00000000-0002-0000-0100-000002000000}">
      <formula1>"Cash, Tax Credit"</formula1>
    </dataValidation>
    <dataValidation type="list" allowBlank="1" showInputMessage="1" showErrorMessage="1" sqref="Q32 Q18" xr:uid="{00000000-0002-0000-0100-000003000000}">
      <formula1>"Cost-Based, Performance-Based, Neither"</formula1>
    </dataValidation>
    <dataValidation type="list" allowBlank="1" showInputMessage="1" showErrorMessage="1" sqref="Q60" xr:uid="{00000000-0002-0000-0100-000004000000}">
      <formula1>"Operations, Salvage"</formula1>
    </dataValidation>
    <dataValidation type="list" allowBlank="1" showInputMessage="1" showErrorMessage="1" sqref="Q19" xr:uid="{00000000-0002-0000-0100-000005000000}">
      <formula1>"ITC, Cash Grant"</formula1>
    </dataValidation>
    <dataValidation type="list" allowBlank="1" showInputMessage="1" showErrorMessage="1" sqref="G71 G73" xr:uid="{00000000-0002-0000-0100-000006000000}">
      <formula1>"As Generated, Carried Forward"</formula1>
    </dataValidation>
    <dataValidation errorStyle="warning" allowBlank="1" showInputMessage="1" showErrorMessage="1" sqref="G53" xr:uid="{00000000-0002-0000-0100-000007000000}"/>
    <dataValidation errorStyle="warning" operator="equal" allowBlank="1" showInputMessage="1" showErrorMessage="1" errorTitle="Project Fails to Meet DSCR" error="This project's cash flow is insufficient to support the amount of user-defined debt, and fails to meet the lender's requirements.    _x000a_Please read the note field(s) highlighted in yellow for options to cure this deficiency._x000a__x000a_" sqref="H53 H56" xr:uid="{00000000-0002-0000-0100-000008000000}"/>
    <dataValidation errorStyle="warning" operator="greaterThanOrEqual" allowBlank="1" showInputMessage="1" showErrorMessage="1" errorTitle="test" error="test" sqref="G51" xr:uid="{00000000-0002-0000-0100-000009000000}"/>
    <dataValidation type="list" allowBlank="1" showInputMessage="1" showErrorMessage="1" sqref="G26" xr:uid="{00000000-0002-0000-0100-00000A000000}">
      <formula1>"Simple, Intermediate"</formula1>
    </dataValidation>
    <dataValidation type="list" allowBlank="1" showInputMessage="1" showErrorMessage="1" sqref="G14" xr:uid="{00000000-0002-0000-0100-00000B000000}">
      <formula1>"Simple, Intermediate, Complex"</formula1>
    </dataValidation>
    <dataValidation type="list" allowBlank="1" showInputMessage="1" showErrorMessage="1" sqref="Q12" xr:uid="{00000000-0002-0000-0100-00000C000000}">
      <formula1>"Year One, Year-by-Year"</formula1>
    </dataValidation>
  </dataValidations>
  <hyperlinks>
    <hyperlink ref="E21" location="'Complex Inputs'!A1" display="'Complex Inputs'!A1" xr:uid="{00000000-0004-0000-0100-000000000000}"/>
    <hyperlink ref="O15" location="'Complex Inputs'!A126" display="'Complex Inputs'!A126" xr:uid="{00000000-0004-0000-0100-000001000000}"/>
    <hyperlink ref="O83" location="'Complex Inputs'!A114" display="'Complex Inputs'!A114" xr:uid="{00000000-0004-0000-0100-000002000000}"/>
  </hyperlinks>
  <pageMargins left="0.7" right="0.7" top="0.75" bottom="0.75" header="0.3" footer="0.3"/>
  <pageSetup orientation="portrait" r:id="rId1"/>
  <ignoredErrors>
    <ignoredError sqref="G44" formulaRange="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O65"/>
  <sheetViews>
    <sheetView showGridLines="0" zoomScale="70" zoomScaleNormal="70" workbookViewId="0">
      <pane xSplit="1" ySplit="2" topLeftCell="B3" activePane="bottomRight" state="frozen"/>
      <selection pane="topRight" activeCell="B1" sqref="B1"/>
      <selection pane="bottomLeft" activeCell="A3" sqref="A3"/>
      <selection pane="bottomRight" activeCell="G6" sqref="G6"/>
    </sheetView>
  </sheetViews>
  <sheetFormatPr baseColWidth="10" defaultColWidth="8.83203125" defaultRowHeight="14"/>
  <cols>
    <col min="1" max="1" width="2.5" style="164" customWidth="1"/>
    <col min="2" max="2" width="57.5" style="164" customWidth="1"/>
    <col min="3" max="3" width="8.5" style="164" bestFit="1" customWidth="1"/>
    <col min="4" max="4" width="22.6640625" style="164" bestFit="1" customWidth="1"/>
    <col min="5" max="5" width="3.83203125" style="164" customWidth="1"/>
    <col min="6" max="15" width="26.33203125" style="164" bestFit="1" customWidth="1"/>
    <col min="16" max="243" width="9.1640625" style="164"/>
    <col min="244" max="244" width="21.5" style="164" customWidth="1"/>
    <col min="245" max="245" width="16.5" style="164" customWidth="1"/>
    <col min="246" max="246" width="18" style="164" customWidth="1"/>
    <col min="247" max="247" width="23.6640625" style="164" customWidth="1"/>
    <col min="248" max="248" width="26" style="164" customWidth="1"/>
    <col min="249" max="249" width="21.5" style="164" customWidth="1"/>
    <col min="250" max="250" width="20.83203125" style="164" customWidth="1"/>
    <col min="251" max="251" width="0" style="164" hidden="1" customWidth="1"/>
    <col min="252" max="499" width="9.1640625" style="164"/>
    <col min="500" max="500" width="21.5" style="164" customWidth="1"/>
    <col min="501" max="501" width="16.5" style="164" customWidth="1"/>
    <col min="502" max="502" width="18" style="164" customWidth="1"/>
    <col min="503" max="503" width="23.6640625" style="164" customWidth="1"/>
    <col min="504" max="504" width="26" style="164" customWidth="1"/>
    <col min="505" max="505" width="21.5" style="164" customWidth="1"/>
    <col min="506" max="506" width="20.83203125" style="164" customWidth="1"/>
    <col min="507" max="507" width="0" style="164" hidden="1" customWidth="1"/>
    <col min="508" max="755" width="9.1640625" style="164"/>
    <col min="756" max="756" width="21.5" style="164" customWidth="1"/>
    <col min="757" max="757" width="16.5" style="164" customWidth="1"/>
    <col min="758" max="758" width="18" style="164" customWidth="1"/>
    <col min="759" max="759" width="23.6640625" style="164" customWidth="1"/>
    <col min="760" max="760" width="26" style="164" customWidth="1"/>
    <col min="761" max="761" width="21.5" style="164" customWidth="1"/>
    <col min="762" max="762" width="20.83203125" style="164" customWidth="1"/>
    <col min="763" max="763" width="0" style="164" hidden="1" customWidth="1"/>
    <col min="764" max="1011" width="9.1640625" style="164"/>
    <col min="1012" max="1012" width="21.5" style="164" customWidth="1"/>
    <col min="1013" max="1013" width="16.5" style="164" customWidth="1"/>
    <col min="1014" max="1014" width="18" style="164" customWidth="1"/>
    <col min="1015" max="1015" width="23.6640625" style="164" customWidth="1"/>
    <col min="1016" max="1016" width="26" style="164" customWidth="1"/>
    <col min="1017" max="1017" width="21.5" style="164" customWidth="1"/>
    <col min="1018" max="1018" width="20.83203125" style="164" customWidth="1"/>
    <col min="1019" max="1019" width="0" style="164" hidden="1" customWidth="1"/>
    <col min="1020" max="1267" width="9.1640625" style="164"/>
    <col min="1268" max="1268" width="21.5" style="164" customWidth="1"/>
    <col min="1269" max="1269" width="16.5" style="164" customWidth="1"/>
    <col min="1270" max="1270" width="18" style="164" customWidth="1"/>
    <col min="1271" max="1271" width="23.6640625" style="164" customWidth="1"/>
    <col min="1272" max="1272" width="26" style="164" customWidth="1"/>
    <col min="1273" max="1273" width="21.5" style="164" customWidth="1"/>
    <col min="1274" max="1274" width="20.83203125" style="164" customWidth="1"/>
    <col min="1275" max="1275" width="0" style="164" hidden="1" customWidth="1"/>
    <col min="1276" max="1523" width="9.1640625" style="164"/>
    <col min="1524" max="1524" width="21.5" style="164" customWidth="1"/>
    <col min="1525" max="1525" width="16.5" style="164" customWidth="1"/>
    <col min="1526" max="1526" width="18" style="164" customWidth="1"/>
    <col min="1527" max="1527" width="23.6640625" style="164" customWidth="1"/>
    <col min="1528" max="1528" width="26" style="164" customWidth="1"/>
    <col min="1529" max="1529" width="21.5" style="164" customWidth="1"/>
    <col min="1530" max="1530" width="20.83203125" style="164" customWidth="1"/>
    <col min="1531" max="1531" width="0" style="164" hidden="1" customWidth="1"/>
    <col min="1532" max="1779" width="9.1640625" style="164"/>
    <col min="1780" max="1780" width="21.5" style="164" customWidth="1"/>
    <col min="1781" max="1781" width="16.5" style="164" customWidth="1"/>
    <col min="1782" max="1782" width="18" style="164" customWidth="1"/>
    <col min="1783" max="1783" width="23.6640625" style="164" customWidth="1"/>
    <col min="1784" max="1784" width="26" style="164" customWidth="1"/>
    <col min="1785" max="1785" width="21.5" style="164" customWidth="1"/>
    <col min="1786" max="1786" width="20.83203125" style="164" customWidth="1"/>
    <col min="1787" max="1787" width="0" style="164" hidden="1" customWidth="1"/>
    <col min="1788" max="2035" width="9.1640625" style="164"/>
    <col min="2036" max="2036" width="21.5" style="164" customWidth="1"/>
    <col min="2037" max="2037" width="16.5" style="164" customWidth="1"/>
    <col min="2038" max="2038" width="18" style="164" customWidth="1"/>
    <col min="2039" max="2039" width="23.6640625" style="164" customWidth="1"/>
    <col min="2040" max="2040" width="26" style="164" customWidth="1"/>
    <col min="2041" max="2041" width="21.5" style="164" customWidth="1"/>
    <col min="2042" max="2042" width="20.83203125" style="164" customWidth="1"/>
    <col min="2043" max="2043" width="0" style="164" hidden="1" customWidth="1"/>
    <col min="2044" max="2291" width="9.1640625" style="164"/>
    <col min="2292" max="2292" width="21.5" style="164" customWidth="1"/>
    <col min="2293" max="2293" width="16.5" style="164" customWidth="1"/>
    <col min="2294" max="2294" width="18" style="164" customWidth="1"/>
    <col min="2295" max="2295" width="23.6640625" style="164" customWidth="1"/>
    <col min="2296" max="2296" width="26" style="164" customWidth="1"/>
    <col min="2297" max="2297" width="21.5" style="164" customWidth="1"/>
    <col min="2298" max="2298" width="20.83203125" style="164" customWidth="1"/>
    <col min="2299" max="2299" width="0" style="164" hidden="1" customWidth="1"/>
    <col min="2300" max="2547" width="9.1640625" style="164"/>
    <col min="2548" max="2548" width="21.5" style="164" customWidth="1"/>
    <col min="2549" max="2549" width="16.5" style="164" customWidth="1"/>
    <col min="2550" max="2550" width="18" style="164" customWidth="1"/>
    <col min="2551" max="2551" width="23.6640625" style="164" customWidth="1"/>
    <col min="2552" max="2552" width="26" style="164" customWidth="1"/>
    <col min="2553" max="2553" width="21.5" style="164" customWidth="1"/>
    <col min="2554" max="2554" width="20.83203125" style="164" customWidth="1"/>
    <col min="2555" max="2555" width="0" style="164" hidden="1" customWidth="1"/>
    <col min="2556" max="2803" width="9.1640625" style="164"/>
    <col min="2804" max="2804" width="21.5" style="164" customWidth="1"/>
    <col min="2805" max="2805" width="16.5" style="164" customWidth="1"/>
    <col min="2806" max="2806" width="18" style="164" customWidth="1"/>
    <col min="2807" max="2807" width="23.6640625" style="164" customWidth="1"/>
    <col min="2808" max="2808" width="26" style="164" customWidth="1"/>
    <col min="2809" max="2809" width="21.5" style="164" customWidth="1"/>
    <col min="2810" max="2810" width="20.83203125" style="164" customWidth="1"/>
    <col min="2811" max="2811" width="0" style="164" hidden="1" customWidth="1"/>
    <col min="2812" max="3059" width="9.1640625" style="164"/>
    <col min="3060" max="3060" width="21.5" style="164" customWidth="1"/>
    <col min="3061" max="3061" width="16.5" style="164" customWidth="1"/>
    <col min="3062" max="3062" width="18" style="164" customWidth="1"/>
    <col min="3063" max="3063" width="23.6640625" style="164" customWidth="1"/>
    <col min="3064" max="3064" width="26" style="164" customWidth="1"/>
    <col min="3065" max="3065" width="21.5" style="164" customWidth="1"/>
    <col min="3066" max="3066" width="20.83203125" style="164" customWidth="1"/>
    <col min="3067" max="3067" width="0" style="164" hidden="1" customWidth="1"/>
    <col min="3068" max="3315" width="9.1640625" style="164"/>
    <col min="3316" max="3316" width="21.5" style="164" customWidth="1"/>
    <col min="3317" max="3317" width="16.5" style="164" customWidth="1"/>
    <col min="3318" max="3318" width="18" style="164" customWidth="1"/>
    <col min="3319" max="3319" width="23.6640625" style="164" customWidth="1"/>
    <col min="3320" max="3320" width="26" style="164" customWidth="1"/>
    <col min="3321" max="3321" width="21.5" style="164" customWidth="1"/>
    <col min="3322" max="3322" width="20.83203125" style="164" customWidth="1"/>
    <col min="3323" max="3323" width="0" style="164" hidden="1" customWidth="1"/>
    <col min="3324" max="3571" width="9.1640625" style="164"/>
    <col min="3572" max="3572" width="21.5" style="164" customWidth="1"/>
    <col min="3573" max="3573" width="16.5" style="164" customWidth="1"/>
    <col min="3574" max="3574" width="18" style="164" customWidth="1"/>
    <col min="3575" max="3575" width="23.6640625" style="164" customWidth="1"/>
    <col min="3576" max="3576" width="26" style="164" customWidth="1"/>
    <col min="3577" max="3577" width="21.5" style="164" customWidth="1"/>
    <col min="3578" max="3578" width="20.83203125" style="164" customWidth="1"/>
    <col min="3579" max="3579" width="0" style="164" hidden="1" customWidth="1"/>
    <col min="3580" max="3827" width="9.1640625" style="164"/>
    <col min="3828" max="3828" width="21.5" style="164" customWidth="1"/>
    <col min="3829" max="3829" width="16.5" style="164" customWidth="1"/>
    <col min="3830" max="3830" width="18" style="164" customWidth="1"/>
    <col min="3831" max="3831" width="23.6640625" style="164" customWidth="1"/>
    <col min="3832" max="3832" width="26" style="164" customWidth="1"/>
    <col min="3833" max="3833" width="21.5" style="164" customWidth="1"/>
    <col min="3834" max="3834" width="20.83203125" style="164" customWidth="1"/>
    <col min="3835" max="3835" width="0" style="164" hidden="1" customWidth="1"/>
    <col min="3836" max="4083" width="9.1640625" style="164"/>
    <col min="4084" max="4084" width="21.5" style="164" customWidth="1"/>
    <col min="4085" max="4085" width="16.5" style="164" customWidth="1"/>
    <col min="4086" max="4086" width="18" style="164" customWidth="1"/>
    <col min="4087" max="4087" width="23.6640625" style="164" customWidth="1"/>
    <col min="4088" max="4088" width="26" style="164" customWidth="1"/>
    <col min="4089" max="4089" width="21.5" style="164" customWidth="1"/>
    <col min="4090" max="4090" width="20.83203125" style="164" customWidth="1"/>
    <col min="4091" max="4091" width="0" style="164" hidden="1" customWidth="1"/>
    <col min="4092" max="4339" width="9.1640625" style="164"/>
    <col min="4340" max="4340" width="21.5" style="164" customWidth="1"/>
    <col min="4341" max="4341" width="16.5" style="164" customWidth="1"/>
    <col min="4342" max="4342" width="18" style="164" customWidth="1"/>
    <col min="4343" max="4343" width="23.6640625" style="164" customWidth="1"/>
    <col min="4344" max="4344" width="26" style="164" customWidth="1"/>
    <col min="4345" max="4345" width="21.5" style="164" customWidth="1"/>
    <col min="4346" max="4346" width="20.83203125" style="164" customWidth="1"/>
    <col min="4347" max="4347" width="0" style="164" hidden="1" customWidth="1"/>
    <col min="4348" max="4595" width="9.1640625" style="164"/>
    <col min="4596" max="4596" width="21.5" style="164" customWidth="1"/>
    <col min="4597" max="4597" width="16.5" style="164" customWidth="1"/>
    <col min="4598" max="4598" width="18" style="164" customWidth="1"/>
    <col min="4599" max="4599" width="23.6640625" style="164" customWidth="1"/>
    <col min="4600" max="4600" width="26" style="164" customWidth="1"/>
    <col min="4601" max="4601" width="21.5" style="164" customWidth="1"/>
    <col min="4602" max="4602" width="20.83203125" style="164" customWidth="1"/>
    <col min="4603" max="4603" width="0" style="164" hidden="1" customWidth="1"/>
    <col min="4604" max="4851" width="9.1640625" style="164"/>
    <col min="4852" max="4852" width="21.5" style="164" customWidth="1"/>
    <col min="4853" max="4853" width="16.5" style="164" customWidth="1"/>
    <col min="4854" max="4854" width="18" style="164" customWidth="1"/>
    <col min="4855" max="4855" width="23.6640625" style="164" customWidth="1"/>
    <col min="4856" max="4856" width="26" style="164" customWidth="1"/>
    <col min="4857" max="4857" width="21.5" style="164" customWidth="1"/>
    <col min="4858" max="4858" width="20.83203125" style="164" customWidth="1"/>
    <col min="4859" max="4859" width="0" style="164" hidden="1" customWidth="1"/>
    <col min="4860" max="5107" width="9.1640625" style="164"/>
    <col min="5108" max="5108" width="21.5" style="164" customWidth="1"/>
    <col min="5109" max="5109" width="16.5" style="164" customWidth="1"/>
    <col min="5110" max="5110" width="18" style="164" customWidth="1"/>
    <col min="5111" max="5111" width="23.6640625" style="164" customWidth="1"/>
    <col min="5112" max="5112" width="26" style="164" customWidth="1"/>
    <col min="5113" max="5113" width="21.5" style="164" customWidth="1"/>
    <col min="5114" max="5114" width="20.83203125" style="164" customWidth="1"/>
    <col min="5115" max="5115" width="0" style="164" hidden="1" customWidth="1"/>
    <col min="5116" max="5363" width="9.1640625" style="164"/>
    <col min="5364" max="5364" width="21.5" style="164" customWidth="1"/>
    <col min="5365" max="5365" width="16.5" style="164" customWidth="1"/>
    <col min="5366" max="5366" width="18" style="164" customWidth="1"/>
    <col min="5367" max="5367" width="23.6640625" style="164" customWidth="1"/>
    <col min="5368" max="5368" width="26" style="164" customWidth="1"/>
    <col min="5369" max="5369" width="21.5" style="164" customWidth="1"/>
    <col min="5370" max="5370" width="20.83203125" style="164" customWidth="1"/>
    <col min="5371" max="5371" width="0" style="164" hidden="1" customWidth="1"/>
    <col min="5372" max="5619" width="9.1640625" style="164"/>
    <col min="5620" max="5620" width="21.5" style="164" customWidth="1"/>
    <col min="5621" max="5621" width="16.5" style="164" customWidth="1"/>
    <col min="5622" max="5622" width="18" style="164" customWidth="1"/>
    <col min="5623" max="5623" width="23.6640625" style="164" customWidth="1"/>
    <col min="5624" max="5624" width="26" style="164" customWidth="1"/>
    <col min="5625" max="5625" width="21.5" style="164" customWidth="1"/>
    <col min="5626" max="5626" width="20.83203125" style="164" customWidth="1"/>
    <col min="5627" max="5627" width="0" style="164" hidden="1" customWidth="1"/>
    <col min="5628" max="5875" width="9.1640625" style="164"/>
    <col min="5876" max="5876" width="21.5" style="164" customWidth="1"/>
    <col min="5877" max="5877" width="16.5" style="164" customWidth="1"/>
    <col min="5878" max="5878" width="18" style="164" customWidth="1"/>
    <col min="5879" max="5879" width="23.6640625" style="164" customWidth="1"/>
    <col min="5880" max="5880" width="26" style="164" customWidth="1"/>
    <col min="5881" max="5881" width="21.5" style="164" customWidth="1"/>
    <col min="5882" max="5882" width="20.83203125" style="164" customWidth="1"/>
    <col min="5883" max="5883" width="0" style="164" hidden="1" customWidth="1"/>
    <col min="5884" max="6131" width="9.1640625" style="164"/>
    <col min="6132" max="6132" width="21.5" style="164" customWidth="1"/>
    <col min="6133" max="6133" width="16.5" style="164" customWidth="1"/>
    <col min="6134" max="6134" width="18" style="164" customWidth="1"/>
    <col min="6135" max="6135" width="23.6640625" style="164" customWidth="1"/>
    <col min="6136" max="6136" width="26" style="164" customWidth="1"/>
    <col min="6137" max="6137" width="21.5" style="164" customWidth="1"/>
    <col min="6138" max="6138" width="20.83203125" style="164" customWidth="1"/>
    <col min="6139" max="6139" width="0" style="164" hidden="1" customWidth="1"/>
    <col min="6140" max="6387" width="9.1640625" style="164"/>
    <col min="6388" max="6388" width="21.5" style="164" customWidth="1"/>
    <col min="6389" max="6389" width="16.5" style="164" customWidth="1"/>
    <col min="6390" max="6390" width="18" style="164" customWidth="1"/>
    <col min="6391" max="6391" width="23.6640625" style="164" customWidth="1"/>
    <col min="6392" max="6392" width="26" style="164" customWidth="1"/>
    <col min="6393" max="6393" width="21.5" style="164" customWidth="1"/>
    <col min="6394" max="6394" width="20.83203125" style="164" customWidth="1"/>
    <col min="6395" max="6395" width="0" style="164" hidden="1" customWidth="1"/>
    <col min="6396" max="6643" width="9.1640625" style="164"/>
    <col min="6644" max="6644" width="21.5" style="164" customWidth="1"/>
    <col min="6645" max="6645" width="16.5" style="164" customWidth="1"/>
    <col min="6646" max="6646" width="18" style="164" customWidth="1"/>
    <col min="6647" max="6647" width="23.6640625" style="164" customWidth="1"/>
    <col min="6648" max="6648" width="26" style="164" customWidth="1"/>
    <col min="6649" max="6649" width="21.5" style="164" customWidth="1"/>
    <col min="6650" max="6650" width="20.83203125" style="164" customWidth="1"/>
    <col min="6651" max="6651" width="0" style="164" hidden="1" customWidth="1"/>
    <col min="6652" max="6899" width="9.1640625" style="164"/>
    <col min="6900" max="6900" width="21.5" style="164" customWidth="1"/>
    <col min="6901" max="6901" width="16.5" style="164" customWidth="1"/>
    <col min="6902" max="6902" width="18" style="164" customWidth="1"/>
    <col min="6903" max="6903" width="23.6640625" style="164" customWidth="1"/>
    <col min="6904" max="6904" width="26" style="164" customWidth="1"/>
    <col min="6905" max="6905" width="21.5" style="164" customWidth="1"/>
    <col min="6906" max="6906" width="20.83203125" style="164" customWidth="1"/>
    <col min="6907" max="6907" width="0" style="164" hidden="1" customWidth="1"/>
    <col min="6908" max="7155" width="9.1640625" style="164"/>
    <col min="7156" max="7156" width="21.5" style="164" customWidth="1"/>
    <col min="7157" max="7157" width="16.5" style="164" customWidth="1"/>
    <col min="7158" max="7158" width="18" style="164" customWidth="1"/>
    <col min="7159" max="7159" width="23.6640625" style="164" customWidth="1"/>
    <col min="7160" max="7160" width="26" style="164" customWidth="1"/>
    <col min="7161" max="7161" width="21.5" style="164" customWidth="1"/>
    <col min="7162" max="7162" width="20.83203125" style="164" customWidth="1"/>
    <col min="7163" max="7163" width="0" style="164" hidden="1" customWidth="1"/>
    <col min="7164" max="7411" width="9.1640625" style="164"/>
    <col min="7412" max="7412" width="21.5" style="164" customWidth="1"/>
    <col min="7413" max="7413" width="16.5" style="164" customWidth="1"/>
    <col min="7414" max="7414" width="18" style="164" customWidth="1"/>
    <col min="7415" max="7415" width="23.6640625" style="164" customWidth="1"/>
    <col min="7416" max="7416" width="26" style="164" customWidth="1"/>
    <col min="7417" max="7417" width="21.5" style="164" customWidth="1"/>
    <col min="7418" max="7418" width="20.83203125" style="164" customWidth="1"/>
    <col min="7419" max="7419" width="0" style="164" hidden="1" customWidth="1"/>
    <col min="7420" max="7667" width="9.1640625" style="164"/>
    <col min="7668" max="7668" width="21.5" style="164" customWidth="1"/>
    <col min="7669" max="7669" width="16.5" style="164" customWidth="1"/>
    <col min="7670" max="7670" width="18" style="164" customWidth="1"/>
    <col min="7671" max="7671" width="23.6640625" style="164" customWidth="1"/>
    <col min="7672" max="7672" width="26" style="164" customWidth="1"/>
    <col min="7673" max="7673" width="21.5" style="164" customWidth="1"/>
    <col min="7674" max="7674" width="20.83203125" style="164" customWidth="1"/>
    <col min="7675" max="7675" width="0" style="164" hidden="1" customWidth="1"/>
    <col min="7676" max="7923" width="9.1640625" style="164"/>
    <col min="7924" max="7924" width="21.5" style="164" customWidth="1"/>
    <col min="7925" max="7925" width="16.5" style="164" customWidth="1"/>
    <col min="7926" max="7926" width="18" style="164" customWidth="1"/>
    <col min="7927" max="7927" width="23.6640625" style="164" customWidth="1"/>
    <col min="7928" max="7928" width="26" style="164" customWidth="1"/>
    <col min="7929" max="7929" width="21.5" style="164" customWidth="1"/>
    <col min="7930" max="7930" width="20.83203125" style="164" customWidth="1"/>
    <col min="7931" max="7931" width="0" style="164" hidden="1" customWidth="1"/>
    <col min="7932" max="8179" width="9.1640625" style="164"/>
    <col min="8180" max="8180" width="21.5" style="164" customWidth="1"/>
    <col min="8181" max="8181" width="16.5" style="164" customWidth="1"/>
    <col min="8182" max="8182" width="18" style="164" customWidth="1"/>
    <col min="8183" max="8183" width="23.6640625" style="164" customWidth="1"/>
    <col min="8184" max="8184" width="26" style="164" customWidth="1"/>
    <col min="8185" max="8185" width="21.5" style="164" customWidth="1"/>
    <col min="8186" max="8186" width="20.83203125" style="164" customWidth="1"/>
    <col min="8187" max="8187" width="0" style="164" hidden="1" customWidth="1"/>
    <col min="8188" max="8435" width="9.1640625" style="164"/>
    <col min="8436" max="8436" width="21.5" style="164" customWidth="1"/>
    <col min="8437" max="8437" width="16.5" style="164" customWidth="1"/>
    <col min="8438" max="8438" width="18" style="164" customWidth="1"/>
    <col min="8439" max="8439" width="23.6640625" style="164" customWidth="1"/>
    <col min="8440" max="8440" width="26" style="164" customWidth="1"/>
    <col min="8441" max="8441" width="21.5" style="164" customWidth="1"/>
    <col min="8442" max="8442" width="20.83203125" style="164" customWidth="1"/>
    <col min="8443" max="8443" width="0" style="164" hidden="1" customWidth="1"/>
    <col min="8444" max="8691" width="9.1640625" style="164"/>
    <col min="8692" max="8692" width="21.5" style="164" customWidth="1"/>
    <col min="8693" max="8693" width="16.5" style="164" customWidth="1"/>
    <col min="8694" max="8694" width="18" style="164" customWidth="1"/>
    <col min="8695" max="8695" width="23.6640625" style="164" customWidth="1"/>
    <col min="8696" max="8696" width="26" style="164" customWidth="1"/>
    <col min="8697" max="8697" width="21.5" style="164" customWidth="1"/>
    <col min="8698" max="8698" width="20.83203125" style="164" customWidth="1"/>
    <col min="8699" max="8699" width="0" style="164" hidden="1" customWidth="1"/>
    <col min="8700" max="8947" width="9.1640625" style="164"/>
    <col min="8948" max="8948" width="21.5" style="164" customWidth="1"/>
    <col min="8949" max="8949" width="16.5" style="164" customWidth="1"/>
    <col min="8950" max="8950" width="18" style="164" customWidth="1"/>
    <col min="8951" max="8951" width="23.6640625" style="164" customWidth="1"/>
    <col min="8952" max="8952" width="26" style="164" customWidth="1"/>
    <col min="8953" max="8953" width="21.5" style="164" customWidth="1"/>
    <col min="8954" max="8954" width="20.83203125" style="164" customWidth="1"/>
    <col min="8955" max="8955" width="0" style="164" hidden="1" customWidth="1"/>
    <col min="8956" max="9203" width="9.1640625" style="164"/>
    <col min="9204" max="9204" width="21.5" style="164" customWidth="1"/>
    <col min="9205" max="9205" width="16.5" style="164" customWidth="1"/>
    <col min="9206" max="9206" width="18" style="164" customWidth="1"/>
    <col min="9207" max="9207" width="23.6640625" style="164" customWidth="1"/>
    <col min="9208" max="9208" width="26" style="164" customWidth="1"/>
    <col min="9209" max="9209" width="21.5" style="164" customWidth="1"/>
    <col min="9210" max="9210" width="20.83203125" style="164" customWidth="1"/>
    <col min="9211" max="9211" width="0" style="164" hidden="1" customWidth="1"/>
    <col min="9212" max="9459" width="9.1640625" style="164"/>
    <col min="9460" max="9460" width="21.5" style="164" customWidth="1"/>
    <col min="9461" max="9461" width="16.5" style="164" customWidth="1"/>
    <col min="9462" max="9462" width="18" style="164" customWidth="1"/>
    <col min="9463" max="9463" width="23.6640625" style="164" customWidth="1"/>
    <col min="9464" max="9464" width="26" style="164" customWidth="1"/>
    <col min="9465" max="9465" width="21.5" style="164" customWidth="1"/>
    <col min="9466" max="9466" width="20.83203125" style="164" customWidth="1"/>
    <col min="9467" max="9467" width="0" style="164" hidden="1" customWidth="1"/>
    <col min="9468" max="9715" width="9.1640625" style="164"/>
    <col min="9716" max="9716" width="21.5" style="164" customWidth="1"/>
    <col min="9717" max="9717" width="16.5" style="164" customWidth="1"/>
    <col min="9718" max="9718" width="18" style="164" customWidth="1"/>
    <col min="9719" max="9719" width="23.6640625" style="164" customWidth="1"/>
    <col min="9720" max="9720" width="26" style="164" customWidth="1"/>
    <col min="9721" max="9721" width="21.5" style="164" customWidth="1"/>
    <col min="9722" max="9722" width="20.83203125" style="164" customWidth="1"/>
    <col min="9723" max="9723" width="0" style="164" hidden="1" customWidth="1"/>
    <col min="9724" max="9971" width="9.1640625" style="164"/>
    <col min="9972" max="9972" width="21.5" style="164" customWidth="1"/>
    <col min="9973" max="9973" width="16.5" style="164" customWidth="1"/>
    <col min="9974" max="9974" width="18" style="164" customWidth="1"/>
    <col min="9975" max="9975" width="23.6640625" style="164" customWidth="1"/>
    <col min="9976" max="9976" width="26" style="164" customWidth="1"/>
    <col min="9977" max="9977" width="21.5" style="164" customWidth="1"/>
    <col min="9978" max="9978" width="20.83203125" style="164" customWidth="1"/>
    <col min="9979" max="9979" width="0" style="164" hidden="1" customWidth="1"/>
    <col min="9980" max="10227" width="9.1640625" style="164"/>
    <col min="10228" max="10228" width="21.5" style="164" customWidth="1"/>
    <col min="10229" max="10229" width="16.5" style="164" customWidth="1"/>
    <col min="10230" max="10230" width="18" style="164" customWidth="1"/>
    <col min="10231" max="10231" width="23.6640625" style="164" customWidth="1"/>
    <col min="10232" max="10232" width="26" style="164" customWidth="1"/>
    <col min="10233" max="10233" width="21.5" style="164" customWidth="1"/>
    <col min="10234" max="10234" width="20.83203125" style="164" customWidth="1"/>
    <col min="10235" max="10235" width="0" style="164" hidden="1" customWidth="1"/>
    <col min="10236" max="10483" width="9.1640625" style="164"/>
    <col min="10484" max="10484" width="21.5" style="164" customWidth="1"/>
    <col min="10485" max="10485" width="16.5" style="164" customWidth="1"/>
    <col min="10486" max="10486" width="18" style="164" customWidth="1"/>
    <col min="10487" max="10487" width="23.6640625" style="164" customWidth="1"/>
    <col min="10488" max="10488" width="26" style="164" customWidth="1"/>
    <col min="10489" max="10489" width="21.5" style="164" customWidth="1"/>
    <col min="10490" max="10490" width="20.83203125" style="164" customWidth="1"/>
    <col min="10491" max="10491" width="0" style="164" hidden="1" customWidth="1"/>
    <col min="10492" max="10739" width="9.1640625" style="164"/>
    <col min="10740" max="10740" width="21.5" style="164" customWidth="1"/>
    <col min="10741" max="10741" width="16.5" style="164" customWidth="1"/>
    <col min="10742" max="10742" width="18" style="164" customWidth="1"/>
    <col min="10743" max="10743" width="23.6640625" style="164" customWidth="1"/>
    <col min="10744" max="10744" width="26" style="164" customWidth="1"/>
    <col min="10745" max="10745" width="21.5" style="164" customWidth="1"/>
    <col min="10746" max="10746" width="20.83203125" style="164" customWidth="1"/>
    <col min="10747" max="10747" width="0" style="164" hidden="1" customWidth="1"/>
    <col min="10748" max="10995" width="9.1640625" style="164"/>
    <col min="10996" max="10996" width="21.5" style="164" customWidth="1"/>
    <col min="10997" max="10997" width="16.5" style="164" customWidth="1"/>
    <col min="10998" max="10998" width="18" style="164" customWidth="1"/>
    <col min="10999" max="10999" width="23.6640625" style="164" customWidth="1"/>
    <col min="11000" max="11000" width="26" style="164" customWidth="1"/>
    <col min="11001" max="11001" width="21.5" style="164" customWidth="1"/>
    <col min="11002" max="11002" width="20.83203125" style="164" customWidth="1"/>
    <col min="11003" max="11003" width="0" style="164" hidden="1" customWidth="1"/>
    <col min="11004" max="11251" width="9.1640625" style="164"/>
    <col min="11252" max="11252" width="21.5" style="164" customWidth="1"/>
    <col min="11253" max="11253" width="16.5" style="164" customWidth="1"/>
    <col min="11254" max="11254" width="18" style="164" customWidth="1"/>
    <col min="11255" max="11255" width="23.6640625" style="164" customWidth="1"/>
    <col min="11256" max="11256" width="26" style="164" customWidth="1"/>
    <col min="11257" max="11257" width="21.5" style="164" customWidth="1"/>
    <col min="11258" max="11258" width="20.83203125" style="164" customWidth="1"/>
    <col min="11259" max="11259" width="0" style="164" hidden="1" customWidth="1"/>
    <col min="11260" max="11507" width="9.1640625" style="164"/>
    <col min="11508" max="11508" width="21.5" style="164" customWidth="1"/>
    <col min="11509" max="11509" width="16.5" style="164" customWidth="1"/>
    <col min="11510" max="11510" width="18" style="164" customWidth="1"/>
    <col min="11511" max="11511" width="23.6640625" style="164" customWidth="1"/>
    <col min="11512" max="11512" width="26" style="164" customWidth="1"/>
    <col min="11513" max="11513" width="21.5" style="164" customWidth="1"/>
    <col min="11514" max="11514" width="20.83203125" style="164" customWidth="1"/>
    <col min="11515" max="11515" width="0" style="164" hidden="1" customWidth="1"/>
    <col min="11516" max="11763" width="9.1640625" style="164"/>
    <col min="11764" max="11764" width="21.5" style="164" customWidth="1"/>
    <col min="11765" max="11765" width="16.5" style="164" customWidth="1"/>
    <col min="11766" max="11766" width="18" style="164" customWidth="1"/>
    <col min="11767" max="11767" width="23.6640625" style="164" customWidth="1"/>
    <col min="11768" max="11768" width="26" style="164" customWidth="1"/>
    <col min="11769" max="11769" width="21.5" style="164" customWidth="1"/>
    <col min="11770" max="11770" width="20.83203125" style="164" customWidth="1"/>
    <col min="11771" max="11771" width="0" style="164" hidden="1" customWidth="1"/>
    <col min="11772" max="12019" width="9.1640625" style="164"/>
    <col min="12020" max="12020" width="21.5" style="164" customWidth="1"/>
    <col min="12021" max="12021" width="16.5" style="164" customWidth="1"/>
    <col min="12022" max="12022" width="18" style="164" customWidth="1"/>
    <col min="12023" max="12023" width="23.6640625" style="164" customWidth="1"/>
    <col min="12024" max="12024" width="26" style="164" customWidth="1"/>
    <col min="12025" max="12025" width="21.5" style="164" customWidth="1"/>
    <col min="12026" max="12026" width="20.83203125" style="164" customWidth="1"/>
    <col min="12027" max="12027" width="0" style="164" hidden="1" customWidth="1"/>
    <col min="12028" max="12275" width="9.1640625" style="164"/>
    <col min="12276" max="12276" width="21.5" style="164" customWidth="1"/>
    <col min="12277" max="12277" width="16.5" style="164" customWidth="1"/>
    <col min="12278" max="12278" width="18" style="164" customWidth="1"/>
    <col min="12279" max="12279" width="23.6640625" style="164" customWidth="1"/>
    <col min="12280" max="12280" width="26" style="164" customWidth="1"/>
    <col min="12281" max="12281" width="21.5" style="164" customWidth="1"/>
    <col min="12282" max="12282" width="20.83203125" style="164" customWidth="1"/>
    <col min="12283" max="12283" width="0" style="164" hidden="1" customWidth="1"/>
    <col min="12284" max="12531" width="9.1640625" style="164"/>
    <col min="12532" max="12532" width="21.5" style="164" customWidth="1"/>
    <col min="12533" max="12533" width="16.5" style="164" customWidth="1"/>
    <col min="12534" max="12534" width="18" style="164" customWidth="1"/>
    <col min="12535" max="12535" width="23.6640625" style="164" customWidth="1"/>
    <col min="12536" max="12536" width="26" style="164" customWidth="1"/>
    <col min="12537" max="12537" width="21.5" style="164" customWidth="1"/>
    <col min="12538" max="12538" width="20.83203125" style="164" customWidth="1"/>
    <col min="12539" max="12539" width="0" style="164" hidden="1" customWidth="1"/>
    <col min="12540" max="12787" width="9.1640625" style="164"/>
    <col min="12788" max="12788" width="21.5" style="164" customWidth="1"/>
    <col min="12789" max="12789" width="16.5" style="164" customWidth="1"/>
    <col min="12790" max="12790" width="18" style="164" customWidth="1"/>
    <col min="12791" max="12791" width="23.6640625" style="164" customWidth="1"/>
    <col min="12792" max="12792" width="26" style="164" customWidth="1"/>
    <col min="12793" max="12793" width="21.5" style="164" customWidth="1"/>
    <col min="12794" max="12794" width="20.83203125" style="164" customWidth="1"/>
    <col min="12795" max="12795" width="0" style="164" hidden="1" customWidth="1"/>
    <col min="12796" max="13043" width="9.1640625" style="164"/>
    <col min="13044" max="13044" width="21.5" style="164" customWidth="1"/>
    <col min="13045" max="13045" width="16.5" style="164" customWidth="1"/>
    <col min="13046" max="13046" width="18" style="164" customWidth="1"/>
    <col min="13047" max="13047" width="23.6640625" style="164" customWidth="1"/>
    <col min="13048" max="13048" width="26" style="164" customWidth="1"/>
    <col min="13049" max="13049" width="21.5" style="164" customWidth="1"/>
    <col min="13050" max="13050" width="20.83203125" style="164" customWidth="1"/>
    <col min="13051" max="13051" width="0" style="164" hidden="1" customWidth="1"/>
    <col min="13052" max="13299" width="9.1640625" style="164"/>
    <col min="13300" max="13300" width="21.5" style="164" customWidth="1"/>
    <col min="13301" max="13301" width="16.5" style="164" customWidth="1"/>
    <col min="13302" max="13302" width="18" style="164" customWidth="1"/>
    <col min="13303" max="13303" width="23.6640625" style="164" customWidth="1"/>
    <col min="13304" max="13304" width="26" style="164" customWidth="1"/>
    <col min="13305" max="13305" width="21.5" style="164" customWidth="1"/>
    <col min="13306" max="13306" width="20.83203125" style="164" customWidth="1"/>
    <col min="13307" max="13307" width="0" style="164" hidden="1" customWidth="1"/>
    <col min="13308" max="13555" width="9.1640625" style="164"/>
    <col min="13556" max="13556" width="21.5" style="164" customWidth="1"/>
    <col min="13557" max="13557" width="16.5" style="164" customWidth="1"/>
    <col min="13558" max="13558" width="18" style="164" customWidth="1"/>
    <col min="13559" max="13559" width="23.6640625" style="164" customWidth="1"/>
    <col min="13560" max="13560" width="26" style="164" customWidth="1"/>
    <col min="13561" max="13561" width="21.5" style="164" customWidth="1"/>
    <col min="13562" max="13562" width="20.83203125" style="164" customWidth="1"/>
    <col min="13563" max="13563" width="0" style="164" hidden="1" customWidth="1"/>
    <col min="13564" max="13811" width="9.1640625" style="164"/>
    <col min="13812" max="13812" width="21.5" style="164" customWidth="1"/>
    <col min="13813" max="13813" width="16.5" style="164" customWidth="1"/>
    <col min="13814" max="13814" width="18" style="164" customWidth="1"/>
    <col min="13815" max="13815" width="23.6640625" style="164" customWidth="1"/>
    <col min="13816" max="13816" width="26" style="164" customWidth="1"/>
    <col min="13817" max="13817" width="21.5" style="164" customWidth="1"/>
    <col min="13818" max="13818" width="20.83203125" style="164" customWidth="1"/>
    <col min="13819" max="13819" width="0" style="164" hidden="1" customWidth="1"/>
    <col min="13820" max="14067" width="9.1640625" style="164"/>
    <col min="14068" max="14068" width="21.5" style="164" customWidth="1"/>
    <col min="14069" max="14069" width="16.5" style="164" customWidth="1"/>
    <col min="14070" max="14070" width="18" style="164" customWidth="1"/>
    <col min="14071" max="14071" width="23.6640625" style="164" customWidth="1"/>
    <col min="14072" max="14072" width="26" style="164" customWidth="1"/>
    <col min="14073" max="14073" width="21.5" style="164" customWidth="1"/>
    <col min="14074" max="14074" width="20.83203125" style="164" customWidth="1"/>
    <col min="14075" max="14075" width="0" style="164" hidden="1" customWidth="1"/>
    <col min="14076" max="14323" width="9.1640625" style="164"/>
    <col min="14324" max="14324" width="21.5" style="164" customWidth="1"/>
    <col min="14325" max="14325" width="16.5" style="164" customWidth="1"/>
    <col min="14326" max="14326" width="18" style="164" customWidth="1"/>
    <col min="14327" max="14327" width="23.6640625" style="164" customWidth="1"/>
    <col min="14328" max="14328" width="26" style="164" customWidth="1"/>
    <col min="14329" max="14329" width="21.5" style="164" customWidth="1"/>
    <col min="14330" max="14330" width="20.83203125" style="164" customWidth="1"/>
    <col min="14331" max="14331" width="0" style="164" hidden="1" customWidth="1"/>
    <col min="14332" max="14579" width="9.1640625" style="164"/>
    <col min="14580" max="14580" width="21.5" style="164" customWidth="1"/>
    <col min="14581" max="14581" width="16.5" style="164" customWidth="1"/>
    <col min="14582" max="14582" width="18" style="164" customWidth="1"/>
    <col min="14583" max="14583" width="23.6640625" style="164" customWidth="1"/>
    <col min="14584" max="14584" width="26" style="164" customWidth="1"/>
    <col min="14585" max="14585" width="21.5" style="164" customWidth="1"/>
    <col min="14586" max="14586" width="20.83203125" style="164" customWidth="1"/>
    <col min="14587" max="14587" width="0" style="164" hidden="1" customWidth="1"/>
    <col min="14588" max="14835" width="9.1640625" style="164"/>
    <col min="14836" max="14836" width="21.5" style="164" customWidth="1"/>
    <col min="14837" max="14837" width="16.5" style="164" customWidth="1"/>
    <col min="14838" max="14838" width="18" style="164" customWidth="1"/>
    <col min="14839" max="14839" width="23.6640625" style="164" customWidth="1"/>
    <col min="14840" max="14840" width="26" style="164" customWidth="1"/>
    <col min="14841" max="14841" width="21.5" style="164" customWidth="1"/>
    <col min="14842" max="14842" width="20.83203125" style="164" customWidth="1"/>
    <col min="14843" max="14843" width="0" style="164" hidden="1" customWidth="1"/>
    <col min="14844" max="15091" width="9.1640625" style="164"/>
    <col min="15092" max="15092" width="21.5" style="164" customWidth="1"/>
    <col min="15093" max="15093" width="16.5" style="164" customWidth="1"/>
    <col min="15094" max="15094" width="18" style="164" customWidth="1"/>
    <col min="15095" max="15095" width="23.6640625" style="164" customWidth="1"/>
    <col min="15096" max="15096" width="26" style="164" customWidth="1"/>
    <col min="15097" max="15097" width="21.5" style="164" customWidth="1"/>
    <col min="15098" max="15098" width="20.83203125" style="164" customWidth="1"/>
    <col min="15099" max="15099" width="0" style="164" hidden="1" customWidth="1"/>
    <col min="15100" max="15347" width="9.1640625" style="164"/>
    <col min="15348" max="15348" width="21.5" style="164" customWidth="1"/>
    <col min="15349" max="15349" width="16.5" style="164" customWidth="1"/>
    <col min="15350" max="15350" width="18" style="164" customWidth="1"/>
    <col min="15351" max="15351" width="23.6640625" style="164" customWidth="1"/>
    <col min="15352" max="15352" width="26" style="164" customWidth="1"/>
    <col min="15353" max="15353" width="21.5" style="164" customWidth="1"/>
    <col min="15354" max="15354" width="20.83203125" style="164" customWidth="1"/>
    <col min="15355" max="15355" width="0" style="164" hidden="1" customWidth="1"/>
    <col min="15356" max="15603" width="9.1640625" style="164"/>
    <col min="15604" max="15604" width="21.5" style="164" customWidth="1"/>
    <col min="15605" max="15605" width="16.5" style="164" customWidth="1"/>
    <col min="15606" max="15606" width="18" style="164" customWidth="1"/>
    <col min="15607" max="15607" width="23.6640625" style="164" customWidth="1"/>
    <col min="15608" max="15608" width="26" style="164" customWidth="1"/>
    <col min="15609" max="15609" width="21.5" style="164" customWidth="1"/>
    <col min="15610" max="15610" width="20.83203125" style="164" customWidth="1"/>
    <col min="15611" max="15611" width="0" style="164" hidden="1" customWidth="1"/>
    <col min="15612" max="15859" width="9.1640625" style="164"/>
    <col min="15860" max="15860" width="21.5" style="164" customWidth="1"/>
    <col min="15861" max="15861" width="16.5" style="164" customWidth="1"/>
    <col min="15862" max="15862" width="18" style="164" customWidth="1"/>
    <col min="15863" max="15863" width="23.6640625" style="164" customWidth="1"/>
    <col min="15864" max="15864" width="26" style="164" customWidth="1"/>
    <col min="15865" max="15865" width="21.5" style="164" customWidth="1"/>
    <col min="15866" max="15866" width="20.83203125" style="164" customWidth="1"/>
    <col min="15867" max="15867" width="0" style="164" hidden="1" customWidth="1"/>
    <col min="15868" max="16115" width="9.1640625" style="164"/>
    <col min="16116" max="16116" width="21.5" style="164" customWidth="1"/>
    <col min="16117" max="16117" width="16.5" style="164" customWidth="1"/>
    <col min="16118" max="16118" width="18" style="164" customWidth="1"/>
    <col min="16119" max="16119" width="23.6640625" style="164" customWidth="1"/>
    <col min="16120" max="16120" width="26" style="164" customWidth="1"/>
    <col min="16121" max="16121" width="21.5" style="164" customWidth="1"/>
    <col min="16122" max="16122" width="20.83203125" style="164" customWidth="1"/>
    <col min="16123" max="16123" width="0" style="164" hidden="1" customWidth="1"/>
    <col min="16124" max="16384" width="9.1640625" style="164"/>
  </cols>
  <sheetData>
    <row r="1" spans="2:15" ht="9" customHeight="1"/>
    <row r="2" spans="2:15" ht="30" customHeight="1">
      <c r="B2" s="201" t="s">
        <v>239</v>
      </c>
      <c r="C2" s="202"/>
      <c r="D2" s="202"/>
      <c r="E2" s="202"/>
      <c r="F2" s="202"/>
      <c r="G2" s="202"/>
      <c r="H2" s="202"/>
      <c r="I2" s="202"/>
      <c r="J2" s="203"/>
    </row>
    <row r="3" spans="2:15" ht="30" customHeight="1">
      <c r="B3" s="754" t="s">
        <v>220</v>
      </c>
      <c r="C3" s="755"/>
      <c r="D3" s="755"/>
      <c r="E3" s="755"/>
      <c r="F3" s="755"/>
      <c r="G3" s="755"/>
      <c r="H3" s="755"/>
      <c r="I3" s="755"/>
      <c r="J3" s="756"/>
    </row>
    <row r="4" spans="2:15" ht="15" customHeight="1" thickBot="1">
      <c r="B4" s="322"/>
      <c r="C4" s="322"/>
      <c r="D4" s="322"/>
      <c r="E4" s="322"/>
      <c r="F4" s="322"/>
      <c r="G4" s="322"/>
      <c r="H4" s="322"/>
      <c r="I4" s="322"/>
      <c r="J4" s="322"/>
    </row>
    <row r="5" spans="2:15" ht="45" customHeight="1" thickBot="1">
      <c r="B5" s="759" t="s">
        <v>334</v>
      </c>
      <c r="C5" s="760"/>
      <c r="D5" s="761"/>
      <c r="E5" s="322"/>
      <c r="F5" s="754" t="s">
        <v>218</v>
      </c>
      <c r="G5" s="755"/>
      <c r="H5" s="755"/>
      <c r="I5" s="755"/>
      <c r="J5" s="756"/>
    </row>
    <row r="6" spans="2:15" ht="15" thickBot="1">
      <c r="B6" s="482" t="s">
        <v>51</v>
      </c>
      <c r="C6" s="483" t="s">
        <v>62</v>
      </c>
      <c r="D6" s="484" t="s">
        <v>61</v>
      </c>
      <c r="E6" s="178"/>
      <c r="F6" s="484" t="s">
        <v>219</v>
      </c>
      <c r="G6" s="484" t="s">
        <v>219</v>
      </c>
      <c r="H6" s="484" t="s">
        <v>219</v>
      </c>
      <c r="I6" s="484" t="s">
        <v>219</v>
      </c>
      <c r="J6" s="484" t="s">
        <v>219</v>
      </c>
      <c r="K6" s="484" t="s">
        <v>219</v>
      </c>
      <c r="L6" s="484" t="s">
        <v>219</v>
      </c>
      <c r="M6" s="484" t="s">
        <v>219</v>
      </c>
      <c r="N6" s="484" t="s">
        <v>219</v>
      </c>
      <c r="O6" s="484" t="s">
        <v>219</v>
      </c>
    </row>
    <row r="7" spans="2:15" s="718" customFormat="1" ht="30" customHeight="1">
      <c r="B7" s="716" t="s">
        <v>454</v>
      </c>
      <c r="C7" s="714" t="s">
        <v>53</v>
      </c>
      <c r="D7" s="715">
        <f>'Cash Flow'!G72</f>
        <v>10.050000000000001</v>
      </c>
      <c r="E7" s="717"/>
      <c r="F7" s="715"/>
      <c r="G7" s="715"/>
      <c r="H7" s="715"/>
      <c r="I7" s="715"/>
      <c r="J7" s="715"/>
      <c r="K7" s="715"/>
      <c r="L7" s="715"/>
      <c r="M7" s="715"/>
      <c r="N7" s="715"/>
      <c r="O7" s="715"/>
    </row>
    <row r="8" spans="2:15" ht="15.75" customHeight="1">
      <c r="B8" s="204" t="s">
        <v>213</v>
      </c>
      <c r="C8" s="205" t="s">
        <v>1</v>
      </c>
      <c r="D8" s="323">
        <f>Inputs!$Q$9</f>
        <v>0</v>
      </c>
      <c r="E8" s="257"/>
      <c r="F8" s="323"/>
      <c r="G8" s="323"/>
      <c r="H8" s="323"/>
      <c r="I8" s="323"/>
      <c r="J8" s="323"/>
      <c r="K8" s="323"/>
      <c r="L8" s="323"/>
      <c r="M8" s="323"/>
      <c r="N8" s="323"/>
      <c r="O8" s="323"/>
    </row>
    <row r="9" spans="2:15" ht="15.75" customHeight="1">
      <c r="B9" s="206" t="s">
        <v>105</v>
      </c>
      <c r="C9" s="207" t="s">
        <v>1</v>
      </c>
      <c r="D9" s="323">
        <f>Inputs!$Q$8</f>
        <v>0</v>
      </c>
      <c r="E9" s="257"/>
      <c r="F9" s="323"/>
      <c r="G9" s="323"/>
      <c r="H9" s="323"/>
      <c r="I9" s="323"/>
      <c r="J9" s="323"/>
      <c r="K9" s="323"/>
      <c r="L9" s="323"/>
      <c r="M9" s="323"/>
      <c r="N9" s="323"/>
      <c r="O9" s="323"/>
    </row>
    <row r="10" spans="2:15" ht="30">
      <c r="B10" s="497" t="s">
        <v>312</v>
      </c>
      <c r="C10" s="498"/>
      <c r="D10" s="489" t="str">
        <f>IF(Inputs!$G$53="Pass","Yes","No, see Inputs Worksheet")</f>
        <v>No, see Inputs Worksheet</v>
      </c>
      <c r="E10" s="178"/>
      <c r="F10" s="728"/>
      <c r="G10" s="728"/>
      <c r="H10" s="728"/>
      <c r="I10" s="728"/>
      <c r="J10" s="728"/>
      <c r="K10" s="728"/>
      <c r="L10" s="728"/>
      <c r="M10" s="728"/>
      <c r="N10" s="728"/>
      <c r="O10" s="728"/>
    </row>
    <row r="11" spans="2:15" ht="30">
      <c r="B11" s="499" t="s">
        <v>313</v>
      </c>
      <c r="C11" s="500"/>
      <c r="D11" s="489" t="str">
        <f>IF(Inputs!$G$56="Pass","Yes","No, see Inputs Worksheet")</f>
        <v>No, see Inputs Worksheet</v>
      </c>
      <c r="E11" s="178"/>
      <c r="F11" s="728"/>
      <c r="G11" s="728"/>
      <c r="H11" s="728"/>
      <c r="I11" s="728"/>
      <c r="J11" s="728"/>
      <c r="K11" s="728"/>
      <c r="L11" s="728"/>
      <c r="M11" s="728"/>
      <c r="N11" s="728"/>
      <c r="O11" s="728"/>
    </row>
    <row r="12" spans="2:15" ht="15.75" customHeight="1">
      <c r="B12" s="472" t="s">
        <v>326</v>
      </c>
      <c r="C12" s="470"/>
      <c r="D12" s="471"/>
      <c r="E12" s="178"/>
      <c r="F12" s="471"/>
      <c r="G12" s="471"/>
      <c r="H12" s="471"/>
      <c r="I12" s="471"/>
      <c r="J12" s="471"/>
      <c r="K12" s="471"/>
      <c r="L12" s="471"/>
      <c r="M12" s="471"/>
      <c r="N12" s="471"/>
      <c r="O12" s="471"/>
    </row>
    <row r="13" spans="2:15" ht="15.75" customHeight="1">
      <c r="B13" s="335"/>
      <c r="C13" s="205"/>
      <c r="D13" s="336"/>
      <c r="E13" s="178"/>
      <c r="F13" s="336"/>
      <c r="G13" s="336"/>
      <c r="H13" s="336"/>
      <c r="I13" s="336"/>
      <c r="J13" s="336"/>
      <c r="K13" s="336"/>
      <c r="L13" s="336"/>
      <c r="M13" s="336"/>
      <c r="N13" s="336"/>
      <c r="O13" s="336"/>
    </row>
    <row r="14" spans="2:15" s="718" customFormat="1" ht="30" customHeight="1">
      <c r="B14" s="719" t="s">
        <v>455</v>
      </c>
      <c r="C14" s="720" t="s">
        <v>53</v>
      </c>
      <c r="D14" s="721">
        <f>-PMT(Inputs!$G$58,Inputs!$Q$7,NPV(Inputs!$G$58,'Cash Flow'!G14:AJ14))</f>
        <v>10.050000000000004</v>
      </c>
      <c r="E14" s="722"/>
      <c r="F14" s="721"/>
      <c r="G14" s="721"/>
      <c r="H14" s="721"/>
      <c r="I14" s="721"/>
      <c r="J14" s="721"/>
      <c r="K14" s="721"/>
      <c r="L14" s="721"/>
      <c r="M14" s="721"/>
      <c r="N14" s="721"/>
      <c r="O14" s="721"/>
    </row>
    <row r="15" spans="2:15" s="184" customFormat="1">
      <c r="C15" s="208"/>
      <c r="D15" s="209"/>
      <c r="E15" s="183"/>
      <c r="F15" s="209"/>
      <c r="G15" s="209"/>
      <c r="H15" s="209"/>
      <c r="I15" s="209"/>
      <c r="J15" s="209"/>
      <c r="K15" s="209"/>
      <c r="L15" s="209"/>
      <c r="M15" s="209"/>
      <c r="N15" s="209"/>
      <c r="O15" s="209"/>
    </row>
    <row r="16" spans="2:15" s="184" customFormat="1" ht="15.75" customHeight="1">
      <c r="B16" s="210" t="s">
        <v>50</v>
      </c>
      <c r="C16" s="339"/>
      <c r="D16" s="338"/>
      <c r="E16" s="178"/>
      <c r="F16" s="338"/>
      <c r="G16" s="338"/>
      <c r="H16" s="338"/>
      <c r="I16" s="338"/>
      <c r="J16" s="338"/>
      <c r="K16" s="338"/>
      <c r="L16" s="338"/>
      <c r="M16" s="338"/>
      <c r="N16" s="338"/>
      <c r="O16" s="338"/>
    </row>
    <row r="17" spans="2:15" s="184" customFormat="1" ht="15.75" customHeight="1">
      <c r="B17" s="707"/>
      <c r="C17" s="706"/>
      <c r="D17" s="708"/>
      <c r="E17" s="178"/>
      <c r="F17" s="708"/>
      <c r="G17" s="708"/>
      <c r="H17" s="708"/>
      <c r="I17" s="708"/>
      <c r="J17" s="708"/>
      <c r="K17" s="708"/>
      <c r="L17" s="708"/>
      <c r="M17" s="708"/>
      <c r="N17" s="708"/>
      <c r="O17" s="708"/>
    </row>
    <row r="18" spans="2:15">
      <c r="B18" s="204" t="s">
        <v>29</v>
      </c>
      <c r="C18" s="205" t="str">
        <f>Inputs!F7</f>
        <v>kW</v>
      </c>
      <c r="D18" s="528">
        <f>Inputs!G7</f>
        <v>10000</v>
      </c>
      <c r="E18" s="212"/>
      <c r="F18" s="528"/>
      <c r="G18" s="528"/>
      <c r="H18" s="528"/>
      <c r="I18" s="528"/>
      <c r="J18" s="528"/>
      <c r="K18" s="528"/>
      <c r="L18" s="528"/>
      <c r="M18" s="528"/>
      <c r="N18" s="528"/>
      <c r="O18" s="528"/>
    </row>
    <row r="19" spans="2:15">
      <c r="B19" s="204" t="s">
        <v>281</v>
      </c>
      <c r="C19" s="205" t="str">
        <f>Inputs!$F$8</f>
        <v>%</v>
      </c>
      <c r="D19" s="213">
        <f>Inputs!$G$8</f>
        <v>0.32</v>
      </c>
      <c r="E19" s="214"/>
      <c r="F19" s="213"/>
      <c r="G19" s="213"/>
      <c r="H19" s="213"/>
      <c r="I19" s="213"/>
      <c r="J19" s="213"/>
      <c r="K19" s="213"/>
      <c r="L19" s="213"/>
      <c r="M19" s="213"/>
      <c r="N19" s="213"/>
      <c r="O19" s="213"/>
    </row>
    <row r="20" spans="2:15">
      <c r="B20" s="204" t="s">
        <v>289</v>
      </c>
      <c r="C20" s="205" t="s">
        <v>2</v>
      </c>
      <c r="D20" s="528">
        <f>Inputs!G9</f>
        <v>28032000</v>
      </c>
      <c r="E20" s="214"/>
      <c r="F20" s="528"/>
      <c r="G20" s="528"/>
      <c r="H20" s="528"/>
      <c r="I20" s="528"/>
      <c r="J20" s="528"/>
      <c r="K20" s="528"/>
      <c r="L20" s="528"/>
      <c r="M20" s="528"/>
      <c r="N20" s="528"/>
      <c r="O20" s="528"/>
    </row>
    <row r="21" spans="2:15">
      <c r="B21" s="204" t="s">
        <v>226</v>
      </c>
      <c r="C21" s="205" t="s">
        <v>52</v>
      </c>
      <c r="D21" s="215">
        <f>Inputs!G11</f>
        <v>20</v>
      </c>
      <c r="E21" s="214"/>
      <c r="F21" s="215"/>
      <c r="G21" s="215"/>
      <c r="H21" s="215"/>
      <c r="I21" s="215"/>
      <c r="J21" s="215"/>
      <c r="K21" s="215"/>
      <c r="L21" s="215"/>
      <c r="M21" s="215"/>
      <c r="N21" s="215"/>
      <c r="O21" s="215"/>
    </row>
    <row r="22" spans="2:15">
      <c r="B22" s="204" t="s">
        <v>437</v>
      </c>
      <c r="C22" s="205" t="s">
        <v>52</v>
      </c>
      <c r="D22" s="215">
        <f>Inputs!$Q$7</f>
        <v>20</v>
      </c>
      <c r="E22" s="211"/>
      <c r="F22" s="215"/>
      <c r="G22" s="215"/>
      <c r="H22" s="215"/>
      <c r="I22" s="215"/>
      <c r="J22" s="215"/>
      <c r="K22" s="215"/>
      <c r="L22" s="215"/>
      <c r="M22" s="215"/>
      <c r="N22" s="215"/>
      <c r="O22" s="215"/>
    </row>
    <row r="23" spans="2:15">
      <c r="B23" s="204" t="s">
        <v>439</v>
      </c>
      <c r="C23" s="205" t="s">
        <v>1</v>
      </c>
      <c r="D23" s="704">
        <f>Inputs!Q8</f>
        <v>0</v>
      </c>
      <c r="E23" s="211"/>
      <c r="F23" s="704"/>
      <c r="G23" s="704"/>
      <c r="H23" s="704"/>
      <c r="I23" s="704"/>
      <c r="J23" s="704"/>
      <c r="K23" s="704"/>
      <c r="L23" s="704"/>
      <c r="M23" s="704"/>
      <c r="N23" s="704"/>
      <c r="O23" s="704"/>
    </row>
    <row r="24" spans="2:15">
      <c r="B24" s="204"/>
      <c r="C24" s="205"/>
      <c r="D24" s="215"/>
      <c r="E24" s="211"/>
      <c r="F24" s="215"/>
      <c r="G24" s="215"/>
      <c r="H24" s="215"/>
      <c r="I24" s="215"/>
      <c r="J24" s="215"/>
      <c r="K24" s="215"/>
      <c r="L24" s="215"/>
      <c r="M24" s="215"/>
      <c r="N24" s="215"/>
      <c r="O24" s="215"/>
    </row>
    <row r="25" spans="2:15">
      <c r="B25" s="204" t="s">
        <v>440</v>
      </c>
      <c r="C25" s="205" t="s">
        <v>0</v>
      </c>
      <c r="D25" s="216">
        <f>Inputs!$G22-Inputs!$G$65</f>
        <v>25000000</v>
      </c>
      <c r="E25" s="217"/>
      <c r="F25" s="216"/>
      <c r="G25" s="216"/>
      <c r="H25" s="216"/>
      <c r="I25" s="216"/>
      <c r="J25" s="216"/>
      <c r="K25" s="216"/>
      <c r="L25" s="216"/>
      <c r="M25" s="216"/>
      <c r="N25" s="216"/>
      <c r="O25" s="216"/>
    </row>
    <row r="26" spans="2:15" ht="15">
      <c r="B26" s="204" t="s">
        <v>440</v>
      </c>
      <c r="C26" s="218" t="s">
        <v>358</v>
      </c>
      <c r="D26" s="216">
        <f>D25/D18</f>
        <v>2500</v>
      </c>
      <c r="E26" s="219"/>
      <c r="F26" s="216"/>
      <c r="G26" s="216"/>
      <c r="H26" s="216"/>
      <c r="I26" s="216"/>
      <c r="J26" s="216"/>
      <c r="K26" s="216"/>
      <c r="L26" s="216"/>
      <c r="M26" s="216"/>
      <c r="N26" s="216"/>
      <c r="O26" s="216"/>
    </row>
    <row r="27" spans="2:15">
      <c r="B27" s="204"/>
      <c r="C27" s="205"/>
      <c r="D27" s="216"/>
      <c r="E27" s="219"/>
      <c r="F27" s="216"/>
      <c r="G27" s="216"/>
      <c r="H27" s="216"/>
      <c r="I27" s="216"/>
      <c r="J27" s="216"/>
      <c r="K27" s="216"/>
      <c r="L27" s="216"/>
      <c r="M27" s="216"/>
      <c r="N27" s="216"/>
      <c r="O27" s="216"/>
    </row>
    <row r="28" spans="2:15" ht="15">
      <c r="B28" s="204" t="s">
        <v>441</v>
      </c>
      <c r="C28" s="703" t="s">
        <v>447</v>
      </c>
      <c r="D28" s="705">
        <f>'Cash Flow'!G37</f>
        <v>-3.6219908675799086</v>
      </c>
      <c r="E28" s="219"/>
      <c r="F28" s="705"/>
      <c r="G28" s="705"/>
      <c r="H28" s="705"/>
      <c r="I28" s="705"/>
      <c r="J28" s="705"/>
      <c r="K28" s="705"/>
      <c r="L28" s="705"/>
      <c r="M28" s="705"/>
      <c r="N28" s="705"/>
      <c r="O28" s="705"/>
    </row>
    <row r="29" spans="2:15">
      <c r="B29" s="204"/>
      <c r="C29" s="205"/>
      <c r="D29" s="215"/>
      <c r="E29" s="211"/>
      <c r="F29" s="215"/>
      <c r="G29" s="215"/>
      <c r="H29" s="215"/>
      <c r="I29" s="215"/>
      <c r="J29" s="215"/>
      <c r="K29" s="215"/>
      <c r="L29" s="215"/>
      <c r="M29" s="215"/>
      <c r="N29" s="215"/>
      <c r="O29" s="215"/>
    </row>
    <row r="30" spans="2:15" ht="15">
      <c r="B30" s="204" t="s">
        <v>468</v>
      </c>
      <c r="C30" s="218" t="s">
        <v>1</v>
      </c>
      <c r="D30" s="220">
        <f>Inputs!$G57</f>
        <v>0.5</v>
      </c>
      <c r="E30" s="221"/>
      <c r="F30" s="220"/>
      <c r="G30" s="220"/>
      <c r="H30" s="220"/>
      <c r="I30" s="220"/>
      <c r="J30" s="220"/>
      <c r="K30" s="220"/>
      <c r="L30" s="220"/>
      <c r="M30" s="220"/>
      <c r="N30" s="220"/>
      <c r="O30" s="220"/>
    </row>
    <row r="31" spans="2:15">
      <c r="B31" s="204" t="s">
        <v>282</v>
      </c>
      <c r="C31" s="205" t="s">
        <v>1</v>
      </c>
      <c r="D31" s="324">
        <f>Inputs!$G58</f>
        <v>0.15</v>
      </c>
      <c r="E31" s="221"/>
      <c r="F31" s="324"/>
      <c r="G31" s="324"/>
      <c r="H31" s="324"/>
      <c r="I31" s="324"/>
      <c r="J31" s="324"/>
      <c r="K31" s="324"/>
      <c r="L31" s="324"/>
      <c r="M31" s="324"/>
      <c r="N31" s="324"/>
      <c r="O31" s="324"/>
    </row>
    <row r="32" spans="2:15" ht="15">
      <c r="B32" s="204" t="s">
        <v>259</v>
      </c>
      <c r="C32" s="218" t="s">
        <v>1</v>
      </c>
      <c r="D32" s="220">
        <f>Inputs!$G47</f>
        <v>0.5</v>
      </c>
      <c r="E32" s="221"/>
      <c r="F32" s="220"/>
      <c r="G32" s="220"/>
      <c r="H32" s="220"/>
      <c r="I32" s="220"/>
      <c r="J32" s="220"/>
      <c r="K32" s="220"/>
      <c r="L32" s="220"/>
      <c r="M32" s="220"/>
      <c r="N32" s="220"/>
      <c r="O32" s="220"/>
    </row>
    <row r="33" spans="2:15" ht="15">
      <c r="B33" s="204" t="s">
        <v>442</v>
      </c>
      <c r="C33" s="218" t="s">
        <v>52</v>
      </c>
      <c r="D33" s="215">
        <f>IF(D32&gt;0%,Inputs!G48,"NA")</f>
        <v>15</v>
      </c>
      <c r="E33" s="221"/>
      <c r="F33" s="215"/>
      <c r="G33" s="215"/>
      <c r="H33" s="215"/>
      <c r="I33" s="215"/>
      <c r="J33" s="215"/>
      <c r="K33" s="215"/>
      <c r="L33" s="215"/>
      <c r="M33" s="215"/>
      <c r="N33" s="215"/>
      <c r="O33" s="215"/>
    </row>
    <row r="34" spans="2:15" ht="15">
      <c r="B34" s="204" t="s">
        <v>221</v>
      </c>
      <c r="C34" s="218" t="s">
        <v>1</v>
      </c>
      <c r="D34" s="324">
        <f>IF(D32&gt;0%,Inputs!$G49,"NA")</f>
        <v>7.0000000000000007E-2</v>
      </c>
      <c r="E34" s="221"/>
      <c r="F34" s="324"/>
      <c r="G34" s="324"/>
      <c r="H34" s="324"/>
      <c r="I34" s="324"/>
      <c r="J34" s="324"/>
      <c r="K34" s="324"/>
      <c r="L34" s="324"/>
      <c r="M34" s="324"/>
      <c r="N34" s="324"/>
      <c r="O34" s="324"/>
    </row>
    <row r="35" spans="2:15">
      <c r="B35" s="204" t="s">
        <v>16</v>
      </c>
      <c r="C35" s="699"/>
      <c r="D35" s="220" t="str">
        <f>Inputs!$G$69</f>
        <v>Yes</v>
      </c>
      <c r="E35" s="222"/>
      <c r="F35" s="220"/>
      <c r="G35" s="220"/>
      <c r="H35" s="220"/>
      <c r="I35" s="220"/>
      <c r="J35" s="220"/>
      <c r="K35" s="220"/>
      <c r="L35" s="220"/>
      <c r="M35" s="220"/>
      <c r="N35" s="220"/>
      <c r="O35" s="220"/>
    </row>
    <row r="36" spans="2:15">
      <c r="B36" s="204" t="s">
        <v>443</v>
      </c>
      <c r="C36" s="699"/>
      <c r="D36" s="220" t="str">
        <f>IF($D$35="Yes",Inputs!G71,"NA")</f>
        <v>As Generated</v>
      </c>
      <c r="E36" s="222"/>
      <c r="F36" s="220"/>
      <c r="G36" s="220"/>
      <c r="H36" s="220"/>
      <c r="I36" s="220"/>
      <c r="J36" s="220"/>
      <c r="K36" s="220"/>
      <c r="L36" s="220"/>
      <c r="M36" s="220"/>
      <c r="N36" s="220"/>
      <c r="O36" s="220"/>
    </row>
    <row r="37" spans="2:15">
      <c r="B37" s="204" t="s">
        <v>444</v>
      </c>
      <c r="C37" s="699"/>
      <c r="D37" s="220" t="str">
        <f>IF($D$35="Yes",Inputs!G73,"NA")</f>
        <v>As Generated</v>
      </c>
      <c r="E37" s="222"/>
      <c r="F37" s="220"/>
      <c r="G37" s="220"/>
      <c r="H37" s="220"/>
      <c r="I37" s="220"/>
      <c r="J37" s="220"/>
      <c r="K37" s="220"/>
      <c r="L37" s="220"/>
      <c r="M37" s="220"/>
      <c r="N37" s="220"/>
      <c r="O37" s="220"/>
    </row>
    <row r="38" spans="2:15">
      <c r="B38" s="701"/>
      <c r="C38" s="699"/>
      <c r="D38" s="220"/>
      <c r="E38" s="222"/>
      <c r="F38" s="220"/>
      <c r="G38" s="220"/>
      <c r="H38" s="220"/>
      <c r="I38" s="220"/>
      <c r="J38" s="220"/>
      <c r="K38" s="220"/>
      <c r="L38" s="220"/>
      <c r="M38" s="220"/>
      <c r="N38" s="220"/>
      <c r="O38" s="220"/>
    </row>
    <row r="39" spans="2:15">
      <c r="B39" s="204" t="s">
        <v>315</v>
      </c>
      <c r="C39" s="205"/>
      <c r="D39" s="216" t="str">
        <f>Inputs!Q18</f>
        <v>Cost-Based</v>
      </c>
      <c r="E39" s="222"/>
      <c r="F39" s="216"/>
      <c r="G39" s="216"/>
      <c r="H39" s="216"/>
      <c r="I39" s="216"/>
      <c r="J39" s="216"/>
      <c r="K39" s="216"/>
      <c r="L39" s="216"/>
      <c r="M39" s="216"/>
      <c r="N39" s="216"/>
      <c r="O39" s="216"/>
    </row>
    <row r="40" spans="2:15">
      <c r="B40" s="204" t="s">
        <v>438</v>
      </c>
      <c r="C40" s="205"/>
      <c r="D40" s="216" t="str">
        <f>IF($D$39="Cost-Based",Inputs!$Q$19,Inputs!$Q$23)</f>
        <v>Cash Grant</v>
      </c>
      <c r="E40" s="222"/>
      <c r="F40" s="216"/>
      <c r="G40" s="216"/>
      <c r="H40" s="216"/>
      <c r="I40" s="216"/>
      <c r="J40" s="216"/>
      <c r="K40" s="216"/>
      <c r="L40" s="216"/>
      <c r="M40" s="216"/>
      <c r="N40" s="216"/>
      <c r="O40" s="216"/>
    </row>
    <row r="41" spans="2:15">
      <c r="B41" s="204"/>
      <c r="C41" s="205"/>
      <c r="D41" s="216"/>
      <c r="E41" s="222"/>
      <c r="F41" s="216"/>
      <c r="G41" s="216"/>
      <c r="H41" s="216"/>
      <c r="I41" s="216"/>
      <c r="J41" s="216"/>
      <c r="K41" s="216"/>
      <c r="L41" s="216"/>
      <c r="M41" s="216"/>
      <c r="N41" s="216"/>
      <c r="O41" s="216"/>
    </row>
    <row r="42" spans="2:15">
      <c r="B42" s="204" t="s">
        <v>190</v>
      </c>
      <c r="C42" s="224"/>
      <c r="D42" s="215" t="str">
        <f>IF(AND(Inputs!$Q$28=0,Inputs!$Q$44=0),"No","Yes")</f>
        <v>No</v>
      </c>
      <c r="E42" s="222"/>
      <c r="F42" s="215"/>
      <c r="G42" s="215"/>
      <c r="H42" s="215"/>
      <c r="I42" s="215"/>
      <c r="J42" s="215"/>
      <c r="K42" s="215"/>
      <c r="L42" s="215"/>
      <c r="M42" s="215"/>
      <c r="N42" s="215"/>
      <c r="O42" s="215"/>
    </row>
    <row r="43" spans="2:15">
      <c r="B43" s="335" t="s">
        <v>445</v>
      </c>
      <c r="C43" s="205" t="s">
        <v>0</v>
      </c>
      <c r="D43" s="216" t="str">
        <f>IF(D42="No","NA",Inputs!$G$65)</f>
        <v>NA</v>
      </c>
      <c r="E43" s="222"/>
      <c r="F43" s="216"/>
      <c r="G43" s="216"/>
      <c r="H43" s="216"/>
      <c r="I43" s="216"/>
      <c r="J43" s="216"/>
      <c r="K43" s="216"/>
      <c r="L43" s="216"/>
      <c r="M43" s="216"/>
      <c r="N43" s="216"/>
      <c r="O43" s="216"/>
    </row>
    <row r="44" spans="2:15">
      <c r="B44" s="335"/>
      <c r="C44" s="205"/>
      <c r="D44" s="216"/>
      <c r="E44" s="222"/>
      <c r="F44" s="216"/>
      <c r="G44" s="216"/>
      <c r="H44" s="216"/>
      <c r="I44" s="216"/>
      <c r="J44" s="216"/>
      <c r="K44" s="216"/>
      <c r="L44" s="216"/>
      <c r="M44" s="216"/>
      <c r="N44" s="216"/>
      <c r="O44" s="216"/>
    </row>
    <row r="45" spans="2:15">
      <c r="B45" s="702" t="s">
        <v>446</v>
      </c>
      <c r="C45" s="187"/>
      <c r="D45" s="223" t="str">
        <f>IF(Inputs!$G$69="No","NA",Inputs!P73)</f>
        <v>Yes</v>
      </c>
      <c r="E45" s="224"/>
      <c r="F45" s="223"/>
      <c r="G45" s="223"/>
      <c r="H45" s="223"/>
      <c r="I45" s="223"/>
      <c r="J45" s="223"/>
      <c r="K45" s="223"/>
      <c r="L45" s="223"/>
      <c r="M45" s="223"/>
      <c r="N45" s="223"/>
      <c r="O45" s="223"/>
    </row>
    <row r="46" spans="2:15" ht="150.75" customHeight="1">
      <c r="B46" s="449" t="s">
        <v>389</v>
      </c>
      <c r="C46" s="450"/>
      <c r="D46" s="337"/>
      <c r="F46" s="337"/>
      <c r="G46" s="337"/>
      <c r="H46" s="337"/>
      <c r="I46" s="337"/>
      <c r="J46" s="337"/>
      <c r="K46" s="337"/>
      <c r="L46" s="337"/>
      <c r="M46" s="337"/>
      <c r="N46" s="337"/>
      <c r="O46" s="337"/>
    </row>
    <row r="47" spans="2:15" ht="30" customHeight="1">
      <c r="B47" s="249"/>
      <c r="C47" s="249"/>
      <c r="D47" s="249"/>
      <c r="E47" s="249"/>
      <c r="F47" s="249"/>
      <c r="G47" s="249"/>
      <c r="H47" s="249"/>
      <c r="I47" s="249"/>
      <c r="J47" s="249"/>
    </row>
    <row r="48" spans="2:15" s="250" customFormat="1" ht="18">
      <c r="B48" s="249"/>
      <c r="C48" s="249"/>
      <c r="D48" s="251"/>
      <c r="E48" s="249"/>
      <c r="F48" s="249"/>
      <c r="G48" s="249"/>
      <c r="H48" s="249"/>
      <c r="I48" s="249"/>
      <c r="J48" s="249"/>
    </row>
    <row r="49" spans="2:11">
      <c r="B49" s="224"/>
      <c r="C49" s="224"/>
      <c r="D49" s="758"/>
      <c r="E49" s="758"/>
      <c r="F49" s="758"/>
      <c r="G49" s="758"/>
      <c r="H49" s="758"/>
      <c r="I49" s="758"/>
      <c r="J49" s="252"/>
      <c r="K49" s="224"/>
    </row>
    <row r="50" spans="2:11">
      <c r="B50" s="224"/>
      <c r="C50" s="246"/>
      <c r="D50" s="247"/>
      <c r="E50" s="247"/>
      <c r="F50" s="247"/>
      <c r="G50" s="247"/>
      <c r="H50" s="247"/>
      <c r="I50" s="247"/>
      <c r="J50" s="247"/>
      <c r="K50" s="224"/>
    </row>
    <row r="51" spans="2:11">
      <c r="B51" s="757"/>
      <c r="C51" s="248"/>
      <c r="D51" s="224"/>
      <c r="E51" s="224"/>
      <c r="F51" s="224"/>
      <c r="G51" s="224"/>
      <c r="H51" s="224"/>
      <c r="I51" s="224"/>
      <c r="J51" s="224"/>
      <c r="K51" s="224"/>
    </row>
    <row r="52" spans="2:11">
      <c r="B52" s="757"/>
      <c r="C52" s="248"/>
      <c r="D52" s="224"/>
      <c r="E52" s="224"/>
      <c r="F52" s="224"/>
      <c r="G52" s="224"/>
      <c r="H52" s="224"/>
      <c r="I52" s="224"/>
      <c r="J52" s="224"/>
      <c r="K52" s="224"/>
    </row>
    <row r="53" spans="2:11">
      <c r="B53" s="757"/>
      <c r="C53" s="248"/>
      <c r="D53" s="224"/>
      <c r="E53" s="224"/>
      <c r="F53" s="224"/>
      <c r="G53" s="224"/>
      <c r="H53" s="224"/>
      <c r="I53" s="224"/>
      <c r="J53" s="224"/>
      <c r="K53" s="224"/>
    </row>
    <row r="54" spans="2:11">
      <c r="B54" s="757"/>
      <c r="C54" s="248"/>
      <c r="D54" s="224"/>
      <c r="E54" s="224"/>
      <c r="F54" s="224"/>
      <c r="G54" s="224"/>
      <c r="H54" s="224"/>
      <c r="I54" s="224"/>
      <c r="J54" s="224"/>
      <c r="K54" s="224"/>
    </row>
    <row r="55" spans="2:11">
      <c r="B55" s="757"/>
      <c r="C55" s="248"/>
      <c r="D55" s="224"/>
      <c r="E55" s="224"/>
      <c r="F55" s="224"/>
      <c r="G55" s="224"/>
      <c r="H55" s="224"/>
      <c r="I55" s="224"/>
      <c r="J55" s="224"/>
      <c r="K55" s="224"/>
    </row>
    <row r="56" spans="2:11">
      <c r="B56" s="224"/>
      <c r="C56" s="224"/>
      <c r="D56" s="224"/>
      <c r="E56" s="224"/>
      <c r="F56" s="224"/>
      <c r="G56" s="224"/>
      <c r="H56" s="224"/>
      <c r="I56" s="224"/>
      <c r="J56" s="224"/>
      <c r="K56" s="224"/>
    </row>
    <row r="57" spans="2:11">
      <c r="B57" s="224"/>
      <c r="C57" s="224"/>
      <c r="D57" s="224"/>
      <c r="E57" s="224"/>
      <c r="F57" s="224"/>
      <c r="G57" s="224"/>
      <c r="H57" s="224"/>
      <c r="I57" s="224"/>
      <c r="J57" s="224"/>
      <c r="K57" s="224"/>
    </row>
    <row r="58" spans="2:11">
      <c r="B58" s="224"/>
      <c r="C58" s="224"/>
      <c r="D58" s="224"/>
      <c r="E58" s="224"/>
      <c r="F58" s="224"/>
      <c r="G58" s="224"/>
      <c r="H58" s="224"/>
      <c r="I58" s="224"/>
      <c r="J58" s="224"/>
      <c r="K58" s="224"/>
    </row>
    <row r="59" spans="2:11" ht="15.75" customHeight="1">
      <c r="B59" s="224"/>
      <c r="C59" s="224"/>
      <c r="D59" s="224"/>
      <c r="E59" s="224"/>
      <c r="F59" s="224"/>
      <c r="G59" s="224"/>
      <c r="H59" s="224"/>
      <c r="I59" s="224"/>
      <c r="J59" s="224"/>
      <c r="K59" s="224"/>
    </row>
    <row r="60" spans="2:11">
      <c r="B60" s="224"/>
      <c r="C60" s="224"/>
      <c r="D60" s="224"/>
      <c r="E60" s="224"/>
      <c r="F60" s="224"/>
      <c r="G60" s="224"/>
      <c r="H60" s="224"/>
      <c r="I60" s="224"/>
      <c r="J60" s="224"/>
      <c r="K60" s="224"/>
    </row>
    <row r="61" spans="2:11">
      <c r="B61" s="224"/>
      <c r="C61" s="224"/>
      <c r="D61" s="224"/>
      <c r="E61" s="224"/>
      <c r="F61" s="224"/>
      <c r="G61" s="224"/>
      <c r="H61" s="224"/>
      <c r="I61" s="224"/>
      <c r="J61" s="224"/>
      <c r="K61" s="224"/>
    </row>
    <row r="62" spans="2:11">
      <c r="B62" s="224"/>
      <c r="C62" s="224"/>
      <c r="D62" s="224"/>
      <c r="E62" s="224"/>
      <c r="F62" s="224"/>
      <c r="G62" s="224"/>
      <c r="H62" s="224"/>
      <c r="I62" s="224"/>
      <c r="J62" s="224"/>
      <c r="K62" s="224"/>
    </row>
    <row r="63" spans="2:11">
      <c r="B63" s="224"/>
      <c r="C63" s="224"/>
      <c r="D63" s="224"/>
      <c r="E63" s="224"/>
      <c r="F63" s="224"/>
      <c r="G63" s="224"/>
      <c r="H63" s="224"/>
      <c r="I63" s="224"/>
      <c r="J63" s="224"/>
      <c r="K63" s="224"/>
    </row>
    <row r="64" spans="2:11">
      <c r="B64" s="224"/>
      <c r="C64" s="224"/>
      <c r="D64" s="224"/>
      <c r="E64" s="224"/>
      <c r="F64" s="224"/>
      <c r="G64" s="224"/>
      <c r="H64" s="224"/>
      <c r="I64" s="224"/>
      <c r="J64" s="224"/>
      <c r="K64" s="224"/>
    </row>
    <row r="65" spans="2:11">
      <c r="B65" s="224"/>
      <c r="C65" s="224"/>
      <c r="D65" s="224"/>
      <c r="E65" s="224"/>
      <c r="F65" s="224"/>
      <c r="G65" s="224"/>
      <c r="H65" s="224"/>
      <c r="I65" s="224"/>
      <c r="J65" s="224"/>
      <c r="K65" s="224"/>
    </row>
  </sheetData>
  <protectedRanges>
    <protectedRange sqref="F6:I6 K6:O6" name="Scenario Names"/>
    <protectedRange sqref="D46 F7:I46 K7:O46" name="InputsOutputs"/>
  </protectedRanges>
  <mergeCells count="5">
    <mergeCell ref="B3:J3"/>
    <mergeCell ref="B51:B55"/>
    <mergeCell ref="D49:I49"/>
    <mergeCell ref="F5:J5"/>
    <mergeCell ref="B5:D5"/>
  </mergeCells>
  <conditionalFormatting sqref="D10">
    <cfRule type="expression" dxfId="9" priority="11">
      <formula>$D10="Yes"</formula>
    </cfRule>
  </conditionalFormatting>
  <conditionalFormatting sqref="D11">
    <cfRule type="expression" dxfId="8" priority="9">
      <formula>$D11="Yes"</formula>
    </cfRule>
  </conditionalFormatting>
  <conditionalFormatting sqref="B10:C10">
    <cfRule type="expression" dxfId="7" priority="8">
      <formula>$D$10="Yes"</formula>
    </cfRule>
  </conditionalFormatting>
  <conditionalFormatting sqref="B11:C11">
    <cfRule type="expression" dxfId="6" priority="7">
      <formula>$D$11="Yes"</formula>
    </cfRule>
  </conditionalFormatting>
  <conditionalFormatting sqref="F10:O10">
    <cfRule type="expression" dxfId="5" priority="2">
      <formula>$D10="Yes"</formula>
    </cfRule>
  </conditionalFormatting>
  <conditionalFormatting sqref="F11:O11">
    <cfRule type="expression" dxfId="4" priority="1">
      <formula>$D11="Yes"</formula>
    </cfRule>
  </conditionalFormatting>
  <pageMargins left="0.7" right="0.7" top="0.75" bottom="0.75" header="0.3" footer="0.3"/>
  <pageSetup orientation="portrait" horizontalDpi="4294967293"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S38"/>
  <sheetViews>
    <sheetView showGridLines="0" zoomScale="70" zoomScaleNormal="70" workbookViewId="0">
      <pane xSplit="1" ySplit="5" topLeftCell="B6" activePane="bottomRight" state="frozen"/>
      <selection pane="topRight" activeCell="B1" sqref="B1"/>
      <selection pane="bottomLeft" activeCell="A6" sqref="A6"/>
      <selection pane="bottomRight" activeCell="G8" sqref="G8"/>
    </sheetView>
  </sheetViews>
  <sheetFormatPr baseColWidth="10" defaultColWidth="8.83203125" defaultRowHeight="14"/>
  <cols>
    <col min="1" max="1" width="2.5" style="164" customWidth="1"/>
    <col min="2" max="2" width="9.6640625" style="164" customWidth="1"/>
    <col min="3" max="3" width="15" style="164" customWidth="1"/>
    <col min="4" max="4" width="12.83203125" style="164" customWidth="1"/>
    <col min="5" max="5" width="13.6640625" style="164" customWidth="1"/>
    <col min="6" max="6" width="14.6640625" style="164" customWidth="1"/>
    <col min="7" max="7" width="13" style="165" customWidth="1"/>
    <col min="8" max="8" width="12.5" style="164" customWidth="1"/>
    <col min="9" max="10" width="15.1640625" style="164" bestFit="1" customWidth="1"/>
    <col min="11" max="11" width="15.83203125" style="164" customWidth="1"/>
    <col min="12" max="12" width="14.5" style="164" customWidth="1"/>
    <col min="13" max="13" width="15.6640625" style="164" customWidth="1"/>
    <col min="14" max="14" width="16.5" style="164" customWidth="1"/>
    <col min="15" max="15" width="11.5" style="164" customWidth="1"/>
    <col min="16" max="16" width="11.1640625" style="164" customWidth="1"/>
    <col min="17" max="17" width="9.1640625" style="164"/>
    <col min="18" max="18" width="24.83203125" style="164" bestFit="1" customWidth="1"/>
    <col min="19" max="19" width="29.33203125" style="164" bestFit="1" customWidth="1"/>
    <col min="20" max="235" width="9.1640625" style="164"/>
    <col min="236" max="236" width="21.5" style="164" customWidth="1"/>
    <col min="237" max="237" width="16.5" style="164" customWidth="1"/>
    <col min="238" max="238" width="18" style="164" customWidth="1"/>
    <col min="239" max="239" width="23.6640625" style="164" customWidth="1"/>
    <col min="240" max="240" width="26" style="164" customWidth="1"/>
    <col min="241" max="241" width="21.5" style="164" customWidth="1"/>
    <col min="242" max="242" width="20.83203125" style="164" customWidth="1"/>
    <col min="243" max="243" width="0" style="164" hidden="1" customWidth="1"/>
    <col min="244" max="491" width="9.1640625" style="164"/>
    <col min="492" max="492" width="21.5" style="164" customWidth="1"/>
    <col min="493" max="493" width="16.5" style="164" customWidth="1"/>
    <col min="494" max="494" width="18" style="164" customWidth="1"/>
    <col min="495" max="495" width="23.6640625" style="164" customWidth="1"/>
    <col min="496" max="496" width="26" style="164" customWidth="1"/>
    <col min="497" max="497" width="21.5" style="164" customWidth="1"/>
    <col min="498" max="498" width="20.83203125" style="164" customWidth="1"/>
    <col min="499" max="499" width="0" style="164" hidden="1" customWidth="1"/>
    <col min="500" max="747" width="9.1640625" style="164"/>
    <col min="748" max="748" width="21.5" style="164" customWidth="1"/>
    <col min="749" max="749" width="16.5" style="164" customWidth="1"/>
    <col min="750" max="750" width="18" style="164" customWidth="1"/>
    <col min="751" max="751" width="23.6640625" style="164" customWidth="1"/>
    <col min="752" max="752" width="26" style="164" customWidth="1"/>
    <col min="753" max="753" width="21.5" style="164" customWidth="1"/>
    <col min="754" max="754" width="20.83203125" style="164" customWidth="1"/>
    <col min="755" max="755" width="0" style="164" hidden="1" customWidth="1"/>
    <col min="756" max="1003" width="9.1640625" style="164"/>
    <col min="1004" max="1004" width="21.5" style="164" customWidth="1"/>
    <col min="1005" max="1005" width="16.5" style="164" customWidth="1"/>
    <col min="1006" max="1006" width="18" style="164" customWidth="1"/>
    <col min="1007" max="1007" width="23.6640625" style="164" customWidth="1"/>
    <col min="1008" max="1008" width="26" style="164" customWidth="1"/>
    <col min="1009" max="1009" width="21.5" style="164" customWidth="1"/>
    <col min="1010" max="1010" width="20.83203125" style="164" customWidth="1"/>
    <col min="1011" max="1011" width="0" style="164" hidden="1" customWidth="1"/>
    <col min="1012" max="1259" width="9.1640625" style="164"/>
    <col min="1260" max="1260" width="21.5" style="164" customWidth="1"/>
    <col min="1261" max="1261" width="16.5" style="164" customWidth="1"/>
    <col min="1262" max="1262" width="18" style="164" customWidth="1"/>
    <col min="1263" max="1263" width="23.6640625" style="164" customWidth="1"/>
    <col min="1264" max="1264" width="26" style="164" customWidth="1"/>
    <col min="1265" max="1265" width="21.5" style="164" customWidth="1"/>
    <col min="1266" max="1266" width="20.83203125" style="164" customWidth="1"/>
    <col min="1267" max="1267" width="0" style="164" hidden="1" customWidth="1"/>
    <col min="1268" max="1515" width="9.1640625" style="164"/>
    <col min="1516" max="1516" width="21.5" style="164" customWidth="1"/>
    <col min="1517" max="1517" width="16.5" style="164" customWidth="1"/>
    <col min="1518" max="1518" width="18" style="164" customWidth="1"/>
    <col min="1519" max="1519" width="23.6640625" style="164" customWidth="1"/>
    <col min="1520" max="1520" width="26" style="164" customWidth="1"/>
    <col min="1521" max="1521" width="21.5" style="164" customWidth="1"/>
    <col min="1522" max="1522" width="20.83203125" style="164" customWidth="1"/>
    <col min="1523" max="1523" width="0" style="164" hidden="1" customWidth="1"/>
    <col min="1524" max="1771" width="9.1640625" style="164"/>
    <col min="1772" max="1772" width="21.5" style="164" customWidth="1"/>
    <col min="1773" max="1773" width="16.5" style="164" customWidth="1"/>
    <col min="1774" max="1774" width="18" style="164" customWidth="1"/>
    <col min="1775" max="1775" width="23.6640625" style="164" customWidth="1"/>
    <col min="1776" max="1776" width="26" style="164" customWidth="1"/>
    <col min="1777" max="1777" width="21.5" style="164" customWidth="1"/>
    <col min="1778" max="1778" width="20.83203125" style="164" customWidth="1"/>
    <col min="1779" max="1779" width="0" style="164" hidden="1" customWidth="1"/>
    <col min="1780" max="2027" width="9.1640625" style="164"/>
    <col min="2028" max="2028" width="21.5" style="164" customWidth="1"/>
    <col min="2029" max="2029" width="16.5" style="164" customWidth="1"/>
    <col min="2030" max="2030" width="18" style="164" customWidth="1"/>
    <col min="2031" max="2031" width="23.6640625" style="164" customWidth="1"/>
    <col min="2032" max="2032" width="26" style="164" customWidth="1"/>
    <col min="2033" max="2033" width="21.5" style="164" customWidth="1"/>
    <col min="2034" max="2034" width="20.83203125" style="164" customWidth="1"/>
    <col min="2035" max="2035" width="0" style="164" hidden="1" customWidth="1"/>
    <col min="2036" max="2283" width="9.1640625" style="164"/>
    <col min="2284" max="2284" width="21.5" style="164" customWidth="1"/>
    <col min="2285" max="2285" width="16.5" style="164" customWidth="1"/>
    <col min="2286" max="2286" width="18" style="164" customWidth="1"/>
    <col min="2287" max="2287" width="23.6640625" style="164" customWidth="1"/>
    <col min="2288" max="2288" width="26" style="164" customWidth="1"/>
    <col min="2289" max="2289" width="21.5" style="164" customWidth="1"/>
    <col min="2290" max="2290" width="20.83203125" style="164" customWidth="1"/>
    <col min="2291" max="2291" width="0" style="164" hidden="1" customWidth="1"/>
    <col min="2292" max="2539" width="9.1640625" style="164"/>
    <col min="2540" max="2540" width="21.5" style="164" customWidth="1"/>
    <col min="2541" max="2541" width="16.5" style="164" customWidth="1"/>
    <col min="2542" max="2542" width="18" style="164" customWidth="1"/>
    <col min="2543" max="2543" width="23.6640625" style="164" customWidth="1"/>
    <col min="2544" max="2544" width="26" style="164" customWidth="1"/>
    <col min="2545" max="2545" width="21.5" style="164" customWidth="1"/>
    <col min="2546" max="2546" width="20.83203125" style="164" customWidth="1"/>
    <col min="2547" max="2547" width="0" style="164" hidden="1" customWidth="1"/>
    <col min="2548" max="2795" width="9.1640625" style="164"/>
    <col min="2796" max="2796" width="21.5" style="164" customWidth="1"/>
    <col min="2797" max="2797" width="16.5" style="164" customWidth="1"/>
    <col min="2798" max="2798" width="18" style="164" customWidth="1"/>
    <col min="2799" max="2799" width="23.6640625" style="164" customWidth="1"/>
    <col min="2800" max="2800" width="26" style="164" customWidth="1"/>
    <col min="2801" max="2801" width="21.5" style="164" customWidth="1"/>
    <col min="2802" max="2802" width="20.83203125" style="164" customWidth="1"/>
    <col min="2803" max="2803" width="0" style="164" hidden="1" customWidth="1"/>
    <col min="2804" max="3051" width="9.1640625" style="164"/>
    <col min="3052" max="3052" width="21.5" style="164" customWidth="1"/>
    <col min="3053" max="3053" width="16.5" style="164" customWidth="1"/>
    <col min="3054" max="3054" width="18" style="164" customWidth="1"/>
    <col min="3055" max="3055" width="23.6640625" style="164" customWidth="1"/>
    <col min="3056" max="3056" width="26" style="164" customWidth="1"/>
    <col min="3057" max="3057" width="21.5" style="164" customWidth="1"/>
    <col min="3058" max="3058" width="20.83203125" style="164" customWidth="1"/>
    <col min="3059" max="3059" width="0" style="164" hidden="1" customWidth="1"/>
    <col min="3060" max="3307" width="9.1640625" style="164"/>
    <col min="3308" max="3308" width="21.5" style="164" customWidth="1"/>
    <col min="3309" max="3309" width="16.5" style="164" customWidth="1"/>
    <col min="3310" max="3310" width="18" style="164" customWidth="1"/>
    <col min="3311" max="3311" width="23.6640625" style="164" customWidth="1"/>
    <col min="3312" max="3312" width="26" style="164" customWidth="1"/>
    <col min="3313" max="3313" width="21.5" style="164" customWidth="1"/>
    <col min="3314" max="3314" width="20.83203125" style="164" customWidth="1"/>
    <col min="3315" max="3315" width="0" style="164" hidden="1" customWidth="1"/>
    <col min="3316" max="3563" width="9.1640625" style="164"/>
    <col min="3564" max="3564" width="21.5" style="164" customWidth="1"/>
    <col min="3565" max="3565" width="16.5" style="164" customWidth="1"/>
    <col min="3566" max="3566" width="18" style="164" customWidth="1"/>
    <col min="3567" max="3567" width="23.6640625" style="164" customWidth="1"/>
    <col min="3568" max="3568" width="26" style="164" customWidth="1"/>
    <col min="3569" max="3569" width="21.5" style="164" customWidth="1"/>
    <col min="3570" max="3570" width="20.83203125" style="164" customWidth="1"/>
    <col min="3571" max="3571" width="0" style="164" hidden="1" customWidth="1"/>
    <col min="3572" max="3819" width="9.1640625" style="164"/>
    <col min="3820" max="3820" width="21.5" style="164" customWidth="1"/>
    <col min="3821" max="3821" width="16.5" style="164" customWidth="1"/>
    <col min="3822" max="3822" width="18" style="164" customWidth="1"/>
    <col min="3823" max="3823" width="23.6640625" style="164" customWidth="1"/>
    <col min="3824" max="3824" width="26" style="164" customWidth="1"/>
    <col min="3825" max="3825" width="21.5" style="164" customWidth="1"/>
    <col min="3826" max="3826" width="20.83203125" style="164" customWidth="1"/>
    <col min="3827" max="3827" width="0" style="164" hidden="1" customWidth="1"/>
    <col min="3828" max="4075" width="9.1640625" style="164"/>
    <col min="4076" max="4076" width="21.5" style="164" customWidth="1"/>
    <col min="4077" max="4077" width="16.5" style="164" customWidth="1"/>
    <col min="4078" max="4078" width="18" style="164" customWidth="1"/>
    <col min="4079" max="4079" width="23.6640625" style="164" customWidth="1"/>
    <col min="4080" max="4080" width="26" style="164" customWidth="1"/>
    <col min="4081" max="4081" width="21.5" style="164" customWidth="1"/>
    <col min="4082" max="4082" width="20.83203125" style="164" customWidth="1"/>
    <col min="4083" max="4083" width="0" style="164" hidden="1" customWidth="1"/>
    <col min="4084" max="4331" width="9.1640625" style="164"/>
    <col min="4332" max="4332" width="21.5" style="164" customWidth="1"/>
    <col min="4333" max="4333" width="16.5" style="164" customWidth="1"/>
    <col min="4334" max="4334" width="18" style="164" customWidth="1"/>
    <col min="4335" max="4335" width="23.6640625" style="164" customWidth="1"/>
    <col min="4336" max="4336" width="26" style="164" customWidth="1"/>
    <col min="4337" max="4337" width="21.5" style="164" customWidth="1"/>
    <col min="4338" max="4338" width="20.83203125" style="164" customWidth="1"/>
    <col min="4339" max="4339" width="0" style="164" hidden="1" customWidth="1"/>
    <col min="4340" max="4587" width="9.1640625" style="164"/>
    <col min="4588" max="4588" width="21.5" style="164" customWidth="1"/>
    <col min="4589" max="4589" width="16.5" style="164" customWidth="1"/>
    <col min="4590" max="4590" width="18" style="164" customWidth="1"/>
    <col min="4591" max="4591" width="23.6640625" style="164" customWidth="1"/>
    <col min="4592" max="4592" width="26" style="164" customWidth="1"/>
    <col min="4593" max="4593" width="21.5" style="164" customWidth="1"/>
    <col min="4594" max="4594" width="20.83203125" style="164" customWidth="1"/>
    <col min="4595" max="4595" width="0" style="164" hidden="1" customWidth="1"/>
    <col min="4596" max="4843" width="9.1640625" style="164"/>
    <col min="4844" max="4844" width="21.5" style="164" customWidth="1"/>
    <col min="4845" max="4845" width="16.5" style="164" customWidth="1"/>
    <col min="4846" max="4846" width="18" style="164" customWidth="1"/>
    <col min="4847" max="4847" width="23.6640625" style="164" customWidth="1"/>
    <col min="4848" max="4848" width="26" style="164" customWidth="1"/>
    <col min="4849" max="4849" width="21.5" style="164" customWidth="1"/>
    <col min="4850" max="4850" width="20.83203125" style="164" customWidth="1"/>
    <col min="4851" max="4851" width="0" style="164" hidden="1" customWidth="1"/>
    <col min="4852" max="5099" width="9.1640625" style="164"/>
    <col min="5100" max="5100" width="21.5" style="164" customWidth="1"/>
    <col min="5101" max="5101" width="16.5" style="164" customWidth="1"/>
    <col min="5102" max="5102" width="18" style="164" customWidth="1"/>
    <col min="5103" max="5103" width="23.6640625" style="164" customWidth="1"/>
    <col min="5104" max="5104" width="26" style="164" customWidth="1"/>
    <col min="5105" max="5105" width="21.5" style="164" customWidth="1"/>
    <col min="5106" max="5106" width="20.83203125" style="164" customWidth="1"/>
    <col min="5107" max="5107" width="0" style="164" hidden="1" customWidth="1"/>
    <col min="5108" max="5355" width="9.1640625" style="164"/>
    <col min="5356" max="5356" width="21.5" style="164" customWidth="1"/>
    <col min="5357" max="5357" width="16.5" style="164" customWidth="1"/>
    <col min="5358" max="5358" width="18" style="164" customWidth="1"/>
    <col min="5359" max="5359" width="23.6640625" style="164" customWidth="1"/>
    <col min="5360" max="5360" width="26" style="164" customWidth="1"/>
    <col min="5361" max="5361" width="21.5" style="164" customWidth="1"/>
    <col min="5362" max="5362" width="20.83203125" style="164" customWidth="1"/>
    <col min="5363" max="5363" width="0" style="164" hidden="1" customWidth="1"/>
    <col min="5364" max="5611" width="9.1640625" style="164"/>
    <col min="5612" max="5612" width="21.5" style="164" customWidth="1"/>
    <col min="5613" max="5613" width="16.5" style="164" customWidth="1"/>
    <col min="5614" max="5614" width="18" style="164" customWidth="1"/>
    <col min="5615" max="5615" width="23.6640625" style="164" customWidth="1"/>
    <col min="5616" max="5616" width="26" style="164" customWidth="1"/>
    <col min="5617" max="5617" width="21.5" style="164" customWidth="1"/>
    <col min="5618" max="5618" width="20.83203125" style="164" customWidth="1"/>
    <col min="5619" max="5619" width="0" style="164" hidden="1" customWidth="1"/>
    <col min="5620" max="5867" width="9.1640625" style="164"/>
    <col min="5868" max="5868" width="21.5" style="164" customWidth="1"/>
    <col min="5869" max="5869" width="16.5" style="164" customWidth="1"/>
    <col min="5870" max="5870" width="18" style="164" customWidth="1"/>
    <col min="5871" max="5871" width="23.6640625" style="164" customWidth="1"/>
    <col min="5872" max="5872" width="26" style="164" customWidth="1"/>
    <col min="5873" max="5873" width="21.5" style="164" customWidth="1"/>
    <col min="5874" max="5874" width="20.83203125" style="164" customWidth="1"/>
    <col min="5875" max="5875" width="0" style="164" hidden="1" customWidth="1"/>
    <col min="5876" max="6123" width="9.1640625" style="164"/>
    <col min="6124" max="6124" width="21.5" style="164" customWidth="1"/>
    <col min="6125" max="6125" width="16.5" style="164" customWidth="1"/>
    <col min="6126" max="6126" width="18" style="164" customWidth="1"/>
    <col min="6127" max="6127" width="23.6640625" style="164" customWidth="1"/>
    <col min="6128" max="6128" width="26" style="164" customWidth="1"/>
    <col min="6129" max="6129" width="21.5" style="164" customWidth="1"/>
    <col min="6130" max="6130" width="20.83203125" style="164" customWidth="1"/>
    <col min="6131" max="6131" width="0" style="164" hidden="1" customWidth="1"/>
    <col min="6132" max="6379" width="9.1640625" style="164"/>
    <col min="6380" max="6380" width="21.5" style="164" customWidth="1"/>
    <col min="6381" max="6381" width="16.5" style="164" customWidth="1"/>
    <col min="6382" max="6382" width="18" style="164" customWidth="1"/>
    <col min="6383" max="6383" width="23.6640625" style="164" customWidth="1"/>
    <col min="6384" max="6384" width="26" style="164" customWidth="1"/>
    <col min="6385" max="6385" width="21.5" style="164" customWidth="1"/>
    <col min="6386" max="6386" width="20.83203125" style="164" customWidth="1"/>
    <col min="6387" max="6387" width="0" style="164" hidden="1" customWidth="1"/>
    <col min="6388" max="6635" width="9.1640625" style="164"/>
    <col min="6636" max="6636" width="21.5" style="164" customWidth="1"/>
    <col min="6637" max="6637" width="16.5" style="164" customWidth="1"/>
    <col min="6638" max="6638" width="18" style="164" customWidth="1"/>
    <col min="6639" max="6639" width="23.6640625" style="164" customWidth="1"/>
    <col min="6640" max="6640" width="26" style="164" customWidth="1"/>
    <col min="6641" max="6641" width="21.5" style="164" customWidth="1"/>
    <col min="6642" max="6642" width="20.83203125" style="164" customWidth="1"/>
    <col min="6643" max="6643" width="0" style="164" hidden="1" customWidth="1"/>
    <col min="6644" max="6891" width="9.1640625" style="164"/>
    <col min="6892" max="6892" width="21.5" style="164" customWidth="1"/>
    <col min="6893" max="6893" width="16.5" style="164" customWidth="1"/>
    <col min="6894" max="6894" width="18" style="164" customWidth="1"/>
    <col min="6895" max="6895" width="23.6640625" style="164" customWidth="1"/>
    <col min="6896" max="6896" width="26" style="164" customWidth="1"/>
    <col min="6897" max="6897" width="21.5" style="164" customWidth="1"/>
    <col min="6898" max="6898" width="20.83203125" style="164" customWidth="1"/>
    <col min="6899" max="6899" width="0" style="164" hidden="1" customWidth="1"/>
    <col min="6900" max="7147" width="9.1640625" style="164"/>
    <col min="7148" max="7148" width="21.5" style="164" customWidth="1"/>
    <col min="7149" max="7149" width="16.5" style="164" customWidth="1"/>
    <col min="7150" max="7150" width="18" style="164" customWidth="1"/>
    <col min="7151" max="7151" width="23.6640625" style="164" customWidth="1"/>
    <col min="7152" max="7152" width="26" style="164" customWidth="1"/>
    <col min="7153" max="7153" width="21.5" style="164" customWidth="1"/>
    <col min="7154" max="7154" width="20.83203125" style="164" customWidth="1"/>
    <col min="7155" max="7155" width="0" style="164" hidden="1" customWidth="1"/>
    <col min="7156" max="7403" width="9.1640625" style="164"/>
    <col min="7404" max="7404" width="21.5" style="164" customWidth="1"/>
    <col min="7405" max="7405" width="16.5" style="164" customWidth="1"/>
    <col min="7406" max="7406" width="18" style="164" customWidth="1"/>
    <col min="7407" max="7407" width="23.6640625" style="164" customWidth="1"/>
    <col min="7408" max="7408" width="26" style="164" customWidth="1"/>
    <col min="7409" max="7409" width="21.5" style="164" customWidth="1"/>
    <col min="7410" max="7410" width="20.83203125" style="164" customWidth="1"/>
    <col min="7411" max="7411" width="0" style="164" hidden="1" customWidth="1"/>
    <col min="7412" max="7659" width="9.1640625" style="164"/>
    <col min="7660" max="7660" width="21.5" style="164" customWidth="1"/>
    <col min="7661" max="7661" width="16.5" style="164" customWidth="1"/>
    <col min="7662" max="7662" width="18" style="164" customWidth="1"/>
    <col min="7663" max="7663" width="23.6640625" style="164" customWidth="1"/>
    <col min="7664" max="7664" width="26" style="164" customWidth="1"/>
    <col min="7665" max="7665" width="21.5" style="164" customWidth="1"/>
    <col min="7666" max="7666" width="20.83203125" style="164" customWidth="1"/>
    <col min="7667" max="7667" width="0" style="164" hidden="1" customWidth="1"/>
    <col min="7668" max="7915" width="9.1640625" style="164"/>
    <col min="7916" max="7916" width="21.5" style="164" customWidth="1"/>
    <col min="7917" max="7917" width="16.5" style="164" customWidth="1"/>
    <col min="7918" max="7918" width="18" style="164" customWidth="1"/>
    <col min="7919" max="7919" width="23.6640625" style="164" customWidth="1"/>
    <col min="7920" max="7920" width="26" style="164" customWidth="1"/>
    <col min="7921" max="7921" width="21.5" style="164" customWidth="1"/>
    <col min="7922" max="7922" width="20.83203125" style="164" customWidth="1"/>
    <col min="7923" max="7923" width="0" style="164" hidden="1" customWidth="1"/>
    <col min="7924" max="8171" width="9.1640625" style="164"/>
    <col min="8172" max="8172" width="21.5" style="164" customWidth="1"/>
    <col min="8173" max="8173" width="16.5" style="164" customWidth="1"/>
    <col min="8174" max="8174" width="18" style="164" customWidth="1"/>
    <col min="8175" max="8175" width="23.6640625" style="164" customWidth="1"/>
    <col min="8176" max="8176" width="26" style="164" customWidth="1"/>
    <col min="8177" max="8177" width="21.5" style="164" customWidth="1"/>
    <col min="8178" max="8178" width="20.83203125" style="164" customWidth="1"/>
    <col min="8179" max="8179" width="0" style="164" hidden="1" customWidth="1"/>
    <col min="8180" max="8427" width="9.1640625" style="164"/>
    <col min="8428" max="8428" width="21.5" style="164" customWidth="1"/>
    <col min="8429" max="8429" width="16.5" style="164" customWidth="1"/>
    <col min="8430" max="8430" width="18" style="164" customWidth="1"/>
    <col min="8431" max="8431" width="23.6640625" style="164" customWidth="1"/>
    <col min="8432" max="8432" width="26" style="164" customWidth="1"/>
    <col min="8433" max="8433" width="21.5" style="164" customWidth="1"/>
    <col min="8434" max="8434" width="20.83203125" style="164" customWidth="1"/>
    <col min="8435" max="8435" width="0" style="164" hidden="1" customWidth="1"/>
    <col min="8436" max="8683" width="9.1640625" style="164"/>
    <col min="8684" max="8684" width="21.5" style="164" customWidth="1"/>
    <col min="8685" max="8685" width="16.5" style="164" customWidth="1"/>
    <col min="8686" max="8686" width="18" style="164" customWidth="1"/>
    <col min="8687" max="8687" width="23.6640625" style="164" customWidth="1"/>
    <col min="8688" max="8688" width="26" style="164" customWidth="1"/>
    <col min="8689" max="8689" width="21.5" style="164" customWidth="1"/>
    <col min="8690" max="8690" width="20.83203125" style="164" customWidth="1"/>
    <col min="8691" max="8691" width="0" style="164" hidden="1" customWidth="1"/>
    <col min="8692" max="8939" width="9.1640625" style="164"/>
    <col min="8940" max="8940" width="21.5" style="164" customWidth="1"/>
    <col min="8941" max="8941" width="16.5" style="164" customWidth="1"/>
    <col min="8942" max="8942" width="18" style="164" customWidth="1"/>
    <col min="8943" max="8943" width="23.6640625" style="164" customWidth="1"/>
    <col min="8944" max="8944" width="26" style="164" customWidth="1"/>
    <col min="8945" max="8945" width="21.5" style="164" customWidth="1"/>
    <col min="8946" max="8946" width="20.83203125" style="164" customWidth="1"/>
    <col min="8947" max="8947" width="0" style="164" hidden="1" customWidth="1"/>
    <col min="8948" max="9195" width="9.1640625" style="164"/>
    <col min="9196" max="9196" width="21.5" style="164" customWidth="1"/>
    <col min="9197" max="9197" width="16.5" style="164" customWidth="1"/>
    <col min="9198" max="9198" width="18" style="164" customWidth="1"/>
    <col min="9199" max="9199" width="23.6640625" style="164" customWidth="1"/>
    <col min="9200" max="9200" width="26" style="164" customWidth="1"/>
    <col min="9201" max="9201" width="21.5" style="164" customWidth="1"/>
    <col min="9202" max="9202" width="20.83203125" style="164" customWidth="1"/>
    <col min="9203" max="9203" width="0" style="164" hidden="1" customWidth="1"/>
    <col min="9204" max="9451" width="9.1640625" style="164"/>
    <col min="9452" max="9452" width="21.5" style="164" customWidth="1"/>
    <col min="9453" max="9453" width="16.5" style="164" customWidth="1"/>
    <col min="9454" max="9454" width="18" style="164" customWidth="1"/>
    <col min="9455" max="9455" width="23.6640625" style="164" customWidth="1"/>
    <col min="9456" max="9456" width="26" style="164" customWidth="1"/>
    <col min="9457" max="9457" width="21.5" style="164" customWidth="1"/>
    <col min="9458" max="9458" width="20.83203125" style="164" customWidth="1"/>
    <col min="9459" max="9459" width="0" style="164" hidden="1" customWidth="1"/>
    <col min="9460" max="9707" width="9.1640625" style="164"/>
    <col min="9708" max="9708" width="21.5" style="164" customWidth="1"/>
    <col min="9709" max="9709" width="16.5" style="164" customWidth="1"/>
    <col min="9710" max="9710" width="18" style="164" customWidth="1"/>
    <col min="9711" max="9711" width="23.6640625" style="164" customWidth="1"/>
    <col min="9712" max="9712" width="26" style="164" customWidth="1"/>
    <col min="9713" max="9713" width="21.5" style="164" customWidth="1"/>
    <col min="9714" max="9714" width="20.83203125" style="164" customWidth="1"/>
    <col min="9715" max="9715" width="0" style="164" hidden="1" customWidth="1"/>
    <col min="9716" max="9963" width="9.1640625" style="164"/>
    <col min="9964" max="9964" width="21.5" style="164" customWidth="1"/>
    <col min="9965" max="9965" width="16.5" style="164" customWidth="1"/>
    <col min="9966" max="9966" width="18" style="164" customWidth="1"/>
    <col min="9967" max="9967" width="23.6640625" style="164" customWidth="1"/>
    <col min="9968" max="9968" width="26" style="164" customWidth="1"/>
    <col min="9969" max="9969" width="21.5" style="164" customWidth="1"/>
    <col min="9970" max="9970" width="20.83203125" style="164" customWidth="1"/>
    <col min="9971" max="9971" width="0" style="164" hidden="1" customWidth="1"/>
    <col min="9972" max="10219" width="9.1640625" style="164"/>
    <col min="10220" max="10220" width="21.5" style="164" customWidth="1"/>
    <col min="10221" max="10221" width="16.5" style="164" customWidth="1"/>
    <col min="10222" max="10222" width="18" style="164" customWidth="1"/>
    <col min="10223" max="10223" width="23.6640625" style="164" customWidth="1"/>
    <col min="10224" max="10224" width="26" style="164" customWidth="1"/>
    <col min="10225" max="10225" width="21.5" style="164" customWidth="1"/>
    <col min="10226" max="10226" width="20.83203125" style="164" customWidth="1"/>
    <col min="10227" max="10227" width="0" style="164" hidden="1" customWidth="1"/>
    <col min="10228" max="10475" width="9.1640625" style="164"/>
    <col min="10476" max="10476" width="21.5" style="164" customWidth="1"/>
    <col min="10477" max="10477" width="16.5" style="164" customWidth="1"/>
    <col min="10478" max="10478" width="18" style="164" customWidth="1"/>
    <col min="10479" max="10479" width="23.6640625" style="164" customWidth="1"/>
    <col min="10480" max="10480" width="26" style="164" customWidth="1"/>
    <col min="10481" max="10481" width="21.5" style="164" customWidth="1"/>
    <col min="10482" max="10482" width="20.83203125" style="164" customWidth="1"/>
    <col min="10483" max="10483" width="0" style="164" hidden="1" customWidth="1"/>
    <col min="10484" max="10731" width="9.1640625" style="164"/>
    <col min="10732" max="10732" width="21.5" style="164" customWidth="1"/>
    <col min="10733" max="10733" width="16.5" style="164" customWidth="1"/>
    <col min="10734" max="10734" width="18" style="164" customWidth="1"/>
    <col min="10735" max="10735" width="23.6640625" style="164" customWidth="1"/>
    <col min="10736" max="10736" width="26" style="164" customWidth="1"/>
    <col min="10737" max="10737" width="21.5" style="164" customWidth="1"/>
    <col min="10738" max="10738" width="20.83203125" style="164" customWidth="1"/>
    <col min="10739" max="10739" width="0" style="164" hidden="1" customWidth="1"/>
    <col min="10740" max="10987" width="9.1640625" style="164"/>
    <col min="10988" max="10988" width="21.5" style="164" customWidth="1"/>
    <col min="10989" max="10989" width="16.5" style="164" customWidth="1"/>
    <col min="10990" max="10990" width="18" style="164" customWidth="1"/>
    <col min="10991" max="10991" width="23.6640625" style="164" customWidth="1"/>
    <col min="10992" max="10992" width="26" style="164" customWidth="1"/>
    <col min="10993" max="10993" width="21.5" style="164" customWidth="1"/>
    <col min="10994" max="10994" width="20.83203125" style="164" customWidth="1"/>
    <col min="10995" max="10995" width="0" style="164" hidden="1" customWidth="1"/>
    <col min="10996" max="11243" width="9.1640625" style="164"/>
    <col min="11244" max="11244" width="21.5" style="164" customWidth="1"/>
    <col min="11245" max="11245" width="16.5" style="164" customWidth="1"/>
    <col min="11246" max="11246" width="18" style="164" customWidth="1"/>
    <col min="11247" max="11247" width="23.6640625" style="164" customWidth="1"/>
    <col min="11248" max="11248" width="26" style="164" customWidth="1"/>
    <col min="11249" max="11249" width="21.5" style="164" customWidth="1"/>
    <col min="11250" max="11250" width="20.83203125" style="164" customWidth="1"/>
    <col min="11251" max="11251" width="0" style="164" hidden="1" customWidth="1"/>
    <col min="11252" max="11499" width="9.1640625" style="164"/>
    <col min="11500" max="11500" width="21.5" style="164" customWidth="1"/>
    <col min="11501" max="11501" width="16.5" style="164" customWidth="1"/>
    <col min="11502" max="11502" width="18" style="164" customWidth="1"/>
    <col min="11503" max="11503" width="23.6640625" style="164" customWidth="1"/>
    <col min="11504" max="11504" width="26" style="164" customWidth="1"/>
    <col min="11505" max="11505" width="21.5" style="164" customWidth="1"/>
    <col min="11506" max="11506" width="20.83203125" style="164" customWidth="1"/>
    <col min="11507" max="11507" width="0" style="164" hidden="1" customWidth="1"/>
    <col min="11508" max="11755" width="9.1640625" style="164"/>
    <col min="11756" max="11756" width="21.5" style="164" customWidth="1"/>
    <col min="11757" max="11757" width="16.5" style="164" customWidth="1"/>
    <col min="11758" max="11758" width="18" style="164" customWidth="1"/>
    <col min="11759" max="11759" width="23.6640625" style="164" customWidth="1"/>
    <col min="11760" max="11760" width="26" style="164" customWidth="1"/>
    <col min="11761" max="11761" width="21.5" style="164" customWidth="1"/>
    <col min="11762" max="11762" width="20.83203125" style="164" customWidth="1"/>
    <col min="11763" max="11763" width="0" style="164" hidden="1" customWidth="1"/>
    <col min="11764" max="12011" width="9.1640625" style="164"/>
    <col min="12012" max="12012" width="21.5" style="164" customWidth="1"/>
    <col min="12013" max="12013" width="16.5" style="164" customWidth="1"/>
    <col min="12014" max="12014" width="18" style="164" customWidth="1"/>
    <col min="12015" max="12015" width="23.6640625" style="164" customWidth="1"/>
    <col min="12016" max="12016" width="26" style="164" customWidth="1"/>
    <col min="12017" max="12017" width="21.5" style="164" customWidth="1"/>
    <col min="12018" max="12018" width="20.83203125" style="164" customWidth="1"/>
    <col min="12019" max="12019" width="0" style="164" hidden="1" customWidth="1"/>
    <col min="12020" max="12267" width="9.1640625" style="164"/>
    <col min="12268" max="12268" width="21.5" style="164" customWidth="1"/>
    <col min="12269" max="12269" width="16.5" style="164" customWidth="1"/>
    <col min="12270" max="12270" width="18" style="164" customWidth="1"/>
    <col min="12271" max="12271" width="23.6640625" style="164" customWidth="1"/>
    <col min="12272" max="12272" width="26" style="164" customWidth="1"/>
    <col min="12273" max="12273" width="21.5" style="164" customWidth="1"/>
    <col min="12274" max="12274" width="20.83203125" style="164" customWidth="1"/>
    <col min="12275" max="12275" width="0" style="164" hidden="1" customWidth="1"/>
    <col min="12276" max="12523" width="9.1640625" style="164"/>
    <col min="12524" max="12524" width="21.5" style="164" customWidth="1"/>
    <col min="12525" max="12525" width="16.5" style="164" customWidth="1"/>
    <col min="12526" max="12526" width="18" style="164" customWidth="1"/>
    <col min="12527" max="12527" width="23.6640625" style="164" customWidth="1"/>
    <col min="12528" max="12528" width="26" style="164" customWidth="1"/>
    <col min="12529" max="12529" width="21.5" style="164" customWidth="1"/>
    <col min="12530" max="12530" width="20.83203125" style="164" customWidth="1"/>
    <col min="12531" max="12531" width="0" style="164" hidden="1" customWidth="1"/>
    <col min="12532" max="12779" width="9.1640625" style="164"/>
    <col min="12780" max="12780" width="21.5" style="164" customWidth="1"/>
    <col min="12781" max="12781" width="16.5" style="164" customWidth="1"/>
    <col min="12782" max="12782" width="18" style="164" customWidth="1"/>
    <col min="12783" max="12783" width="23.6640625" style="164" customWidth="1"/>
    <col min="12784" max="12784" width="26" style="164" customWidth="1"/>
    <col min="12785" max="12785" width="21.5" style="164" customWidth="1"/>
    <col min="12786" max="12786" width="20.83203125" style="164" customWidth="1"/>
    <col min="12787" max="12787" width="0" style="164" hidden="1" customWidth="1"/>
    <col min="12788" max="13035" width="9.1640625" style="164"/>
    <col min="13036" max="13036" width="21.5" style="164" customWidth="1"/>
    <col min="13037" max="13037" width="16.5" style="164" customWidth="1"/>
    <col min="13038" max="13038" width="18" style="164" customWidth="1"/>
    <col min="13039" max="13039" width="23.6640625" style="164" customWidth="1"/>
    <col min="13040" max="13040" width="26" style="164" customWidth="1"/>
    <col min="13041" max="13041" width="21.5" style="164" customWidth="1"/>
    <col min="13042" max="13042" width="20.83203125" style="164" customWidth="1"/>
    <col min="13043" max="13043" width="0" style="164" hidden="1" customWidth="1"/>
    <col min="13044" max="13291" width="9.1640625" style="164"/>
    <col min="13292" max="13292" width="21.5" style="164" customWidth="1"/>
    <col min="13293" max="13293" width="16.5" style="164" customWidth="1"/>
    <col min="13294" max="13294" width="18" style="164" customWidth="1"/>
    <col min="13295" max="13295" width="23.6640625" style="164" customWidth="1"/>
    <col min="13296" max="13296" width="26" style="164" customWidth="1"/>
    <col min="13297" max="13297" width="21.5" style="164" customWidth="1"/>
    <col min="13298" max="13298" width="20.83203125" style="164" customWidth="1"/>
    <col min="13299" max="13299" width="0" style="164" hidden="1" customWidth="1"/>
    <col min="13300" max="13547" width="9.1640625" style="164"/>
    <col min="13548" max="13548" width="21.5" style="164" customWidth="1"/>
    <col min="13549" max="13549" width="16.5" style="164" customWidth="1"/>
    <col min="13550" max="13550" width="18" style="164" customWidth="1"/>
    <col min="13551" max="13551" width="23.6640625" style="164" customWidth="1"/>
    <col min="13552" max="13552" width="26" style="164" customWidth="1"/>
    <col min="13553" max="13553" width="21.5" style="164" customWidth="1"/>
    <col min="13554" max="13554" width="20.83203125" style="164" customWidth="1"/>
    <col min="13555" max="13555" width="0" style="164" hidden="1" customWidth="1"/>
    <col min="13556" max="13803" width="9.1640625" style="164"/>
    <col min="13804" max="13804" width="21.5" style="164" customWidth="1"/>
    <col min="13805" max="13805" width="16.5" style="164" customWidth="1"/>
    <col min="13806" max="13806" width="18" style="164" customWidth="1"/>
    <col min="13807" max="13807" width="23.6640625" style="164" customWidth="1"/>
    <col min="13808" max="13808" width="26" style="164" customWidth="1"/>
    <col min="13809" max="13809" width="21.5" style="164" customWidth="1"/>
    <col min="13810" max="13810" width="20.83203125" style="164" customWidth="1"/>
    <col min="13811" max="13811" width="0" style="164" hidden="1" customWidth="1"/>
    <col min="13812" max="14059" width="9.1640625" style="164"/>
    <col min="14060" max="14060" width="21.5" style="164" customWidth="1"/>
    <col min="14061" max="14061" width="16.5" style="164" customWidth="1"/>
    <col min="14062" max="14062" width="18" style="164" customWidth="1"/>
    <col min="14063" max="14063" width="23.6640625" style="164" customWidth="1"/>
    <col min="14064" max="14064" width="26" style="164" customWidth="1"/>
    <col min="14065" max="14065" width="21.5" style="164" customWidth="1"/>
    <col min="14066" max="14066" width="20.83203125" style="164" customWidth="1"/>
    <col min="14067" max="14067" width="0" style="164" hidden="1" customWidth="1"/>
    <col min="14068" max="14315" width="9.1640625" style="164"/>
    <col min="14316" max="14316" width="21.5" style="164" customWidth="1"/>
    <col min="14317" max="14317" width="16.5" style="164" customWidth="1"/>
    <col min="14318" max="14318" width="18" style="164" customWidth="1"/>
    <col min="14319" max="14319" width="23.6640625" style="164" customWidth="1"/>
    <col min="14320" max="14320" width="26" style="164" customWidth="1"/>
    <col min="14321" max="14321" width="21.5" style="164" customWidth="1"/>
    <col min="14322" max="14322" width="20.83203125" style="164" customWidth="1"/>
    <col min="14323" max="14323" width="0" style="164" hidden="1" customWidth="1"/>
    <col min="14324" max="14571" width="9.1640625" style="164"/>
    <col min="14572" max="14572" width="21.5" style="164" customWidth="1"/>
    <col min="14573" max="14573" width="16.5" style="164" customWidth="1"/>
    <col min="14574" max="14574" width="18" style="164" customWidth="1"/>
    <col min="14575" max="14575" width="23.6640625" style="164" customWidth="1"/>
    <col min="14576" max="14576" width="26" style="164" customWidth="1"/>
    <col min="14577" max="14577" width="21.5" style="164" customWidth="1"/>
    <col min="14578" max="14578" width="20.83203125" style="164" customWidth="1"/>
    <col min="14579" max="14579" width="0" style="164" hidden="1" customWidth="1"/>
    <col min="14580" max="14827" width="9.1640625" style="164"/>
    <col min="14828" max="14828" width="21.5" style="164" customWidth="1"/>
    <col min="14829" max="14829" width="16.5" style="164" customWidth="1"/>
    <col min="14830" max="14830" width="18" style="164" customWidth="1"/>
    <col min="14831" max="14831" width="23.6640625" style="164" customWidth="1"/>
    <col min="14832" max="14832" width="26" style="164" customWidth="1"/>
    <col min="14833" max="14833" width="21.5" style="164" customWidth="1"/>
    <col min="14834" max="14834" width="20.83203125" style="164" customWidth="1"/>
    <col min="14835" max="14835" width="0" style="164" hidden="1" customWidth="1"/>
    <col min="14836" max="15083" width="9.1640625" style="164"/>
    <col min="15084" max="15084" width="21.5" style="164" customWidth="1"/>
    <col min="15085" max="15085" width="16.5" style="164" customWidth="1"/>
    <col min="15086" max="15086" width="18" style="164" customWidth="1"/>
    <col min="15087" max="15087" width="23.6640625" style="164" customWidth="1"/>
    <col min="15088" max="15088" width="26" style="164" customWidth="1"/>
    <col min="15089" max="15089" width="21.5" style="164" customWidth="1"/>
    <col min="15090" max="15090" width="20.83203125" style="164" customWidth="1"/>
    <col min="15091" max="15091" width="0" style="164" hidden="1" customWidth="1"/>
    <col min="15092" max="15339" width="9.1640625" style="164"/>
    <col min="15340" max="15340" width="21.5" style="164" customWidth="1"/>
    <col min="15341" max="15341" width="16.5" style="164" customWidth="1"/>
    <col min="15342" max="15342" width="18" style="164" customWidth="1"/>
    <col min="15343" max="15343" width="23.6640625" style="164" customWidth="1"/>
    <col min="15344" max="15344" width="26" style="164" customWidth="1"/>
    <col min="15345" max="15345" width="21.5" style="164" customWidth="1"/>
    <col min="15346" max="15346" width="20.83203125" style="164" customWidth="1"/>
    <col min="15347" max="15347" width="0" style="164" hidden="1" customWidth="1"/>
    <col min="15348" max="15595" width="9.1640625" style="164"/>
    <col min="15596" max="15596" width="21.5" style="164" customWidth="1"/>
    <col min="15597" max="15597" width="16.5" style="164" customWidth="1"/>
    <col min="15598" max="15598" width="18" style="164" customWidth="1"/>
    <col min="15599" max="15599" width="23.6640625" style="164" customWidth="1"/>
    <col min="15600" max="15600" width="26" style="164" customWidth="1"/>
    <col min="15601" max="15601" width="21.5" style="164" customWidth="1"/>
    <col min="15602" max="15602" width="20.83203125" style="164" customWidth="1"/>
    <col min="15603" max="15603" width="0" style="164" hidden="1" customWidth="1"/>
    <col min="15604" max="15851" width="9.1640625" style="164"/>
    <col min="15852" max="15852" width="21.5" style="164" customWidth="1"/>
    <col min="15853" max="15853" width="16.5" style="164" customWidth="1"/>
    <col min="15854" max="15854" width="18" style="164" customWidth="1"/>
    <col min="15855" max="15855" width="23.6640625" style="164" customWidth="1"/>
    <col min="15856" max="15856" width="26" style="164" customWidth="1"/>
    <col min="15857" max="15857" width="21.5" style="164" customWidth="1"/>
    <col min="15858" max="15858" width="20.83203125" style="164" customWidth="1"/>
    <col min="15859" max="15859" width="0" style="164" hidden="1" customWidth="1"/>
    <col min="15860" max="16107" width="9.1640625" style="164"/>
    <col min="16108" max="16108" width="21.5" style="164" customWidth="1"/>
    <col min="16109" max="16109" width="16.5" style="164" customWidth="1"/>
    <col min="16110" max="16110" width="18" style="164" customWidth="1"/>
    <col min="16111" max="16111" width="23.6640625" style="164" customWidth="1"/>
    <col min="16112" max="16112" width="26" style="164" customWidth="1"/>
    <col min="16113" max="16113" width="21.5" style="164" customWidth="1"/>
    <col min="16114" max="16114" width="20.83203125" style="164" customWidth="1"/>
    <col min="16115" max="16115" width="0" style="164" hidden="1" customWidth="1"/>
    <col min="16116" max="16384" width="9.1640625" style="164"/>
  </cols>
  <sheetData>
    <row r="1" spans="2:19" ht="9" customHeight="1" thickBot="1"/>
    <row r="2" spans="2:19" s="166" customFormat="1" ht="30" customHeight="1" thickBot="1">
      <c r="B2" s="188" t="s">
        <v>54</v>
      </c>
      <c r="C2" s="189"/>
      <c r="D2" s="189"/>
      <c r="E2" s="189"/>
      <c r="F2" s="189"/>
      <c r="G2" s="190"/>
      <c r="H2" s="189"/>
      <c r="I2" s="189"/>
      <c r="J2" s="189"/>
      <c r="K2" s="189"/>
      <c r="L2" s="189"/>
      <c r="M2" s="191"/>
      <c r="N2" s="190"/>
      <c r="O2" s="190"/>
      <c r="P2" s="192"/>
    </row>
    <row r="3" spans="2:19">
      <c r="G3" s="193"/>
      <c r="M3" s="194"/>
      <c r="N3" s="195"/>
      <c r="O3" s="195"/>
      <c r="P3" s="195"/>
      <c r="R3" s="766" t="s">
        <v>277</v>
      </c>
      <c r="S3" s="767"/>
    </row>
    <row r="4" spans="2:19" ht="45" customHeight="1">
      <c r="B4" s="167" t="s">
        <v>238</v>
      </c>
      <c r="C4" s="168" t="s">
        <v>237</v>
      </c>
      <c r="D4" s="168" t="s">
        <v>55</v>
      </c>
      <c r="E4" s="168" t="s">
        <v>12</v>
      </c>
      <c r="F4" s="168" t="s">
        <v>59</v>
      </c>
      <c r="G4" s="168" t="s">
        <v>161</v>
      </c>
      <c r="H4" s="168" t="s">
        <v>275</v>
      </c>
      <c r="I4" s="168" t="s">
        <v>382</v>
      </c>
      <c r="J4" s="168" t="s">
        <v>383</v>
      </c>
      <c r="K4" s="168" t="s">
        <v>384</v>
      </c>
      <c r="L4" s="168" t="s">
        <v>385</v>
      </c>
      <c r="M4" s="168" t="s">
        <v>160</v>
      </c>
      <c r="N4" s="168" t="s">
        <v>57</v>
      </c>
      <c r="O4" s="168" t="s">
        <v>58</v>
      </c>
      <c r="P4" s="169" t="s">
        <v>59</v>
      </c>
      <c r="R4" s="762" t="s">
        <v>386</v>
      </c>
      <c r="S4" s="764" t="s">
        <v>276</v>
      </c>
    </row>
    <row r="5" spans="2:19" ht="15.75" customHeight="1">
      <c r="B5" s="170" t="s">
        <v>56</v>
      </c>
      <c r="C5" s="171" t="s">
        <v>53</v>
      </c>
      <c r="D5" s="171" t="s">
        <v>0</v>
      </c>
      <c r="E5" s="171" t="s">
        <v>0</v>
      </c>
      <c r="F5" s="171" t="s">
        <v>0</v>
      </c>
      <c r="G5" s="172" t="s">
        <v>0</v>
      </c>
      <c r="H5" s="172" t="s">
        <v>0</v>
      </c>
      <c r="I5" s="172" t="s">
        <v>0</v>
      </c>
      <c r="J5" s="172" t="s">
        <v>0</v>
      </c>
      <c r="K5" s="171" t="s">
        <v>0</v>
      </c>
      <c r="L5" s="171" t="s">
        <v>0</v>
      </c>
      <c r="M5" s="172" t="s">
        <v>0</v>
      </c>
      <c r="N5" s="172" t="s">
        <v>0</v>
      </c>
      <c r="O5" s="171" t="s">
        <v>1</v>
      </c>
      <c r="P5" s="173" t="s">
        <v>60</v>
      </c>
      <c r="R5" s="763"/>
      <c r="S5" s="765"/>
    </row>
    <row r="6" spans="2:19" ht="15.75" customHeight="1">
      <c r="B6" s="174">
        <v>0</v>
      </c>
      <c r="C6" s="175"/>
      <c r="D6" s="176"/>
      <c r="E6" s="176"/>
      <c r="F6" s="176"/>
      <c r="G6" s="177"/>
      <c r="H6" s="176"/>
      <c r="I6" s="176"/>
      <c r="J6" s="176"/>
      <c r="K6" s="176"/>
      <c r="L6" s="224"/>
      <c r="M6" s="177">
        <f>'Cash Flow'!F67</f>
        <v>-12500000</v>
      </c>
      <c r="N6" s="177">
        <f>M6</f>
        <v>-12500000</v>
      </c>
      <c r="O6" s="196"/>
      <c r="P6" s="197"/>
      <c r="R6" s="389"/>
      <c r="S6" s="390"/>
    </row>
    <row r="7" spans="2:19" s="184" customFormat="1">
      <c r="B7" s="179">
        <v>1</v>
      </c>
      <c r="C7" s="180">
        <f>IF($B7&gt;Inputs!$G$11,"",IF($B7&lt;=Inputs!$Q$7,LOOKUP($B7,'Cash Flow'!$F$2:$AJ$2,'Cash Flow'!$F$14:$AJ$14),LOOKUP($B7,'Cash Flow'!$F$2:$AJ$2,'Cash Flow'!$F$16:$AJ$16)))</f>
        <v>10.050000000000001</v>
      </c>
      <c r="D7" s="177">
        <f>IF($B7&gt;Inputs!$G$11,"",LOOKUP($B7,'Cash Flow'!$F$2:$AJ$2,'Cash Flow'!$F$23:$AJ$23))</f>
        <v>2836347.099319343</v>
      </c>
      <c r="E7" s="177">
        <f>IF($B7&gt;Inputs!$G$11,"",LOOKUP($B7,'Cash Flow'!$F$2:$AJ$2,'Cash Flow'!$F$35:$AJ$35))</f>
        <v>-1015316.48</v>
      </c>
      <c r="F7" s="177">
        <f>IF($B7&gt;Inputs!$G$11,"",LOOKUP($B7,'Cash Flow'!$F$2:$AJ$2,'Cash Flow'!$F$85:$AJ$85))</f>
        <v>-1372432.8087625818</v>
      </c>
      <c r="G7" s="177">
        <f>IF($B7&gt;Inputs!$G$11,"",LOOKUP($B7,'Cash Flow'!$F$2:$AJ$2,'Cash Flow'!$F$47:$AJ$47)+LOOKUP($B7,'Cash Flow'!$F$2:$AJ$2,'Cash Flow'!$F$48:$AJ$48))</f>
        <v>-25000</v>
      </c>
      <c r="H7" s="177">
        <f>IF($B7&gt;Inputs!$G$11,"",SUM(D7:G7))</f>
        <v>423597.81055676122</v>
      </c>
      <c r="I7" s="177">
        <f>IF($B7&gt;Inputs!$G$11,"",LOOKUP($B7,'Cash Flow'!$F$2:$AJ$2,'Cash Flow'!$F$60:$AJ$60))</f>
        <v>-11824883.443180658</v>
      </c>
      <c r="J7" s="177">
        <f>IF($B7&gt;Inputs!$G$11,"",LOOKUP($B7,'Cash Flow'!$F$2:$AJ$2,'Cash Flow'!$F$61:$AJ$61))</f>
        <v>-11824883.443180658</v>
      </c>
      <c r="K7" s="177">
        <f>IF($B7&gt;Inputs!$G$11,"",LOOKUP($B7,'Cash Flow'!$F$2:$AJ$2,'Cash Flow'!$F$63:$AJ$63)+LOOKUP($B7,'Cash Flow'!$F$2:$AJ$2,'Cash Flow'!$F$65:$AJ$65))</f>
        <v>10836918.922678605</v>
      </c>
      <c r="L7" s="177">
        <f>IF($B7&gt;Inputs!$G$11,"",LOOKUP($B7,'Cash Flow'!$F$2:$AJ$2,'Cash Flow'!$F$64:$AJ$64)+LOOKUP($B7,'Cash Flow'!$F$2:$AJ$2,'Cash Flow'!$F$66:$AJ$66))</f>
        <v>1005115.092670356</v>
      </c>
      <c r="M7" s="177">
        <f>IF($B7&gt;Inputs!$G$11,"",H7+K7+L7)</f>
        <v>12265631.825905723</v>
      </c>
      <c r="N7" s="177">
        <f>IF($B7&gt;Inputs!$G$11,N6,N6+M7)</f>
        <v>-234368.1740942765</v>
      </c>
      <c r="O7" s="181">
        <f>IF($B7&gt;Inputs!$G$11,"",LOOKUP($B7,'Cash Flow'!$F$2:$AJ$2,'Cash Flow'!$F$68:$AJ$68))</f>
        <v>-1.8749453927542015E-2</v>
      </c>
      <c r="P7" s="182">
        <f>IF($B7&gt;Inputs!$G$11,"",LOOKUP($B7,'Cash Flow'!$F$2:$AJ$2,'Cash Flow'!$F$41:$AJ$41))</f>
        <v>1.3086473945042796</v>
      </c>
      <c r="R7" s="391">
        <f>IF($B7&gt;Inputs!$G$11,"",D7+K7+L7)</f>
        <v>14678381.114668304</v>
      </c>
      <c r="S7" s="392">
        <f>IF($B7&gt;Inputs!$G$11,"",-(E7+F7+G7))</f>
        <v>2412749.2887625815</v>
      </c>
    </row>
    <row r="8" spans="2:19" s="184" customFormat="1" ht="15.75" customHeight="1">
      <c r="B8" s="185">
        <v>2</v>
      </c>
      <c r="C8" s="180">
        <f>IF($B8&gt;Inputs!$G$11,"",IF($B8&lt;=Inputs!$Q$7,LOOKUP($B8,'Cash Flow'!$F$2:$AJ$2,'Cash Flow'!$F$14:$AJ$14),LOOKUP($B8,'Cash Flow'!$F$2:$AJ$2,'Cash Flow'!$F$16:$AJ$16)))</f>
        <v>10.050000000000001</v>
      </c>
      <c r="D8" s="177">
        <f>IF($B8&gt;Inputs!$G$11,"",LOOKUP($B8,'Cash Flow'!$F$2:$AJ$2,'Cash Flow'!$F$23:$AJ$23))</f>
        <v>2822636.0193193429</v>
      </c>
      <c r="E8" s="177">
        <f>IF($B8&gt;Inputs!$G$11,"",LOOKUP($B8,'Cash Flow'!$F$2:$AJ$2,'Cash Flow'!$F$35:$AJ$35))</f>
        <v>-1028435.8176000001</v>
      </c>
      <c r="F8" s="177">
        <f>IF($B8&gt;Inputs!$G$11,"",LOOKUP($B8,'Cash Flow'!$F$2:$AJ$2,'Cash Flow'!$F$85:$AJ$85))</f>
        <v>-1372432.808762582</v>
      </c>
      <c r="G8" s="177">
        <f>IF($B8&gt;Inputs!$G$11,"",LOOKUP($B8,'Cash Flow'!$F$2:$AJ$2,'Cash Flow'!$F$47:$AJ$47)+LOOKUP($B8,'Cash Flow'!$F$2:$AJ$2,'Cash Flow'!$F$48:$AJ$48))</f>
        <v>-25000</v>
      </c>
      <c r="H8" s="177">
        <f>IF($B8&gt;Inputs!$G$11,"",SUM(D8:G8))</f>
        <v>396767.39295676071</v>
      </c>
      <c r="I8" s="177">
        <f>IF($B8&gt;Inputs!$G$11,"",LOOKUP($B8,'Cash Flow'!$F$2:$AJ$2,'Cash Flow'!$F$60:$AJ$60))</f>
        <v>-2304240.5904172771</v>
      </c>
      <c r="J8" s="177">
        <f>IF($B8&gt;Inputs!$G$11,"",LOOKUP($B8,'Cash Flow'!$F$2:$AJ$2,'Cash Flow'!$F$61:$AJ$61))</f>
        <v>-2304240.5904172771</v>
      </c>
      <c r="K8" s="177">
        <f>IF($B8&gt;Inputs!$G$11,"",LOOKUP($B8,'Cash Flow'!$F$2:$AJ$2,'Cash Flow'!$F$63:$AJ$63)+LOOKUP($B8,'Cash Flow'!$F$2:$AJ$2,'Cash Flow'!$F$65:$AJ$65))</f>
        <v>737933.04908113298</v>
      </c>
      <c r="L8" s="177">
        <f>IF($B8&gt;Inputs!$G$11,"",LOOKUP($B8,'Cash Flow'!$F$2:$AJ$2,'Cash Flow'!$F$64:$AJ$64)+LOOKUP($B8,'Cash Flow'!$F$2:$AJ$2,'Cash Flow'!$F$66:$AJ$66))</f>
        <v>195860.45018546857</v>
      </c>
      <c r="M8" s="177">
        <f>IF($B8&gt;Inputs!$G$11,"",H8+K8+L8)</f>
        <v>1330560.8922233623</v>
      </c>
      <c r="N8" s="177">
        <f>IF($B8&gt;Inputs!$G$11,N7,N7+M8)</f>
        <v>1096192.7181290858</v>
      </c>
      <c r="O8" s="181">
        <f>IF($B8&gt;Inputs!$G$11,"",LOOKUP($B8,'Cash Flow'!$F$2:$AJ$2,'Cash Flow'!$F$68:$AJ$68))</f>
        <v>7.9826452532454351E-2</v>
      </c>
      <c r="P8" s="182">
        <f>IF($B8&gt;Inputs!$G$11,"",LOOKUP($B8,'Cash Flow'!$F$2:$AJ$2,'Cash Flow'!$F$41:$AJ$41))</f>
        <v>1.289097863606522</v>
      </c>
      <c r="R8" s="391">
        <f>IF($B8&gt;Inputs!$G$11,"",D8+K8+L8)</f>
        <v>3756429.5185859445</v>
      </c>
      <c r="S8" s="392">
        <f>IF($B8&gt;Inputs!$G$11,"",-(E8+F8+G8))</f>
        <v>2425868.6263625822</v>
      </c>
    </row>
    <row r="9" spans="2:19">
      <c r="B9" s="179">
        <v>3</v>
      </c>
      <c r="C9" s="180">
        <f>IF($B9&gt;Inputs!$G$11,"",IF($B9&lt;=Inputs!$Q$7,LOOKUP($B9,'Cash Flow'!$F$2:$AJ$2,'Cash Flow'!$F$14:$AJ$14),LOOKUP($B9,'Cash Flow'!$F$2:$AJ$2,'Cash Flow'!$F$16:$AJ$16)))</f>
        <v>10.050000000000001</v>
      </c>
      <c r="D9" s="177">
        <f>IF($B9&gt;Inputs!$G$11,"",LOOKUP($B9,'Cash Flow'!$F$2:$AJ$2,'Cash Flow'!$F$23:$AJ$23))</f>
        <v>2808995.3697193433</v>
      </c>
      <c r="E9" s="177">
        <f>IF($B9&gt;Inputs!$G$11,"",LOOKUP($B9,'Cash Flow'!$F$2:$AJ$2,'Cash Flow'!$F$35:$AJ$35))</f>
        <v>-1041774.85272</v>
      </c>
      <c r="F9" s="177">
        <f>IF($B9&gt;Inputs!$G$11,"",LOOKUP($B9,'Cash Flow'!$F$2:$AJ$2,'Cash Flow'!$F$85:$AJ$85))</f>
        <v>-1372432.8087625816</v>
      </c>
      <c r="G9" s="177">
        <f>IF($B9&gt;Inputs!$G$11,"",LOOKUP($B9,'Cash Flow'!$F$2:$AJ$2,'Cash Flow'!$F$47:$AJ$47)+LOOKUP($B9,'Cash Flow'!$F$2:$AJ$2,'Cash Flow'!$F$48:$AJ$48))</f>
        <v>-25000</v>
      </c>
      <c r="H9" s="177">
        <f>IF($B9&gt;Inputs!$G$11,"",SUM(D9:G9))</f>
        <v>369787.70823676186</v>
      </c>
      <c r="I9" s="177">
        <f>IF($B9&gt;Inputs!$G$11,"",LOOKUP($B9,'Cash Flow'!$F$2:$AJ$2,'Cash Flow'!$F$60:$AJ$60))</f>
        <v>-999914.49151095853</v>
      </c>
      <c r="J9" s="177">
        <f>IF($B9&gt;Inputs!$G$11,"",LOOKUP($B9,'Cash Flow'!$F$2:$AJ$2,'Cash Flow'!$F$61:$AJ$61))</f>
        <v>-999914.49151095853</v>
      </c>
      <c r="K9" s="177">
        <f>IF($B9&gt;Inputs!$G$11,"",LOOKUP($B9,'Cash Flow'!$F$2:$AJ$2,'Cash Flow'!$F$63:$AJ$63)+LOOKUP($B9,'Cash Flow'!$F$2:$AJ$2,'Cash Flow'!$F$65:$AJ$65))</f>
        <v>320222.61590638448</v>
      </c>
      <c r="L9" s="177">
        <f>IF($B9&gt;Inputs!$G$11,"",LOOKUP($B9,'Cash Flow'!$F$2:$AJ$2,'Cash Flow'!$F$64:$AJ$64)+LOOKUP($B9,'Cash Flow'!$F$2:$AJ$2,'Cash Flow'!$F$66:$AJ$66))</f>
        <v>84992.73177843148</v>
      </c>
      <c r="M9" s="177">
        <f>IF($B9&gt;Inputs!$G$11,"",H9+K9+L9)</f>
        <v>775003.05592157785</v>
      </c>
      <c r="N9" s="177">
        <f>IF($B9&gt;Inputs!$G$11,N8,N8+M9)</f>
        <v>1871195.7740506637</v>
      </c>
      <c r="O9" s="181">
        <f>IF($B9&gt;Inputs!$G$11,"",LOOKUP($B9,'Cash Flow'!$F$2:$AJ$2,'Cash Flow'!$F$68:$AJ$68))</f>
        <v>0.12487709969502703</v>
      </c>
      <c r="P9" s="182">
        <f>IF($B9&gt;Inputs!$G$11,"",LOOKUP($B9,'Cash Flow'!$F$2:$AJ$2,'Cash Flow'!$F$41:$AJ$41))</f>
        <v>1.2694395717413454</v>
      </c>
      <c r="R9" s="391">
        <f>IF($B9&gt;Inputs!$G$11,"",D9+K9+L9)</f>
        <v>3214210.7174041593</v>
      </c>
      <c r="S9" s="392">
        <f>IF($B9&gt;Inputs!$G$11,"",-(E9+F9+G9))</f>
        <v>2439207.6614825814</v>
      </c>
    </row>
    <row r="10" spans="2:19">
      <c r="B10" s="179">
        <v>4</v>
      </c>
      <c r="C10" s="180">
        <f>IF($B10&gt;Inputs!$G$11,"",IF($B10&lt;=Inputs!$Q$7,LOOKUP($B10,'Cash Flow'!$F$2:$AJ$2,'Cash Flow'!$F$14:$AJ$14),LOOKUP($B10,'Cash Flow'!$F$2:$AJ$2,'Cash Flow'!$F$16:$AJ$16)))</f>
        <v>10.050000000000001</v>
      </c>
      <c r="D10" s="177">
        <f>IF($B10&gt;Inputs!$G$11,"",LOOKUP($B10,'Cash Flow'!$F$2:$AJ$2,'Cash Flow'!$F$23:$AJ$23))</f>
        <v>2795424.7983673434</v>
      </c>
      <c r="E10" s="177">
        <f>IF($B10&gt;Inputs!$G$11,"",LOOKUP($B10,'Cash Flow'!$F$2:$AJ$2,'Cash Flow'!$F$35:$AJ$35))</f>
        <v>-1055337.1330060991</v>
      </c>
      <c r="F10" s="177">
        <f>IF($B10&gt;Inputs!$G$11,"",LOOKUP($B10,'Cash Flow'!$F$2:$AJ$2,'Cash Flow'!$F$85:$AJ$85))</f>
        <v>-1372432.808762582</v>
      </c>
      <c r="G10" s="177">
        <f>IF($B10&gt;Inputs!$G$11,"",LOOKUP($B10,'Cash Flow'!$F$2:$AJ$2,'Cash Flow'!$F$47:$AJ$47)+LOOKUP($B10,'Cash Flow'!$F$2:$AJ$2,'Cash Flow'!$F$48:$AJ$48))</f>
        <v>-25000</v>
      </c>
      <c r="H10" s="177">
        <f>IF($B10&gt;Inputs!$G$11,"",SUM(D10:G10))</f>
        <v>342654.85659866221</v>
      </c>
      <c r="I10" s="177">
        <f>IF($B10&gt;Inputs!$G$11,"",LOOKUP($B10,'Cash Flow'!$F$2:$AJ$2,'Cash Flow'!$F$60:$AJ$60))</f>
        <v>-210114.07930639829</v>
      </c>
      <c r="J10" s="177">
        <f>IF($B10&gt;Inputs!$G$11,"",LOOKUP($B10,'Cash Flow'!$F$2:$AJ$2,'Cash Flow'!$F$61:$AJ$61))</f>
        <v>-210114.07930639829</v>
      </c>
      <c r="K10" s="177">
        <f>IF($B10&gt;Inputs!$G$11,"",LOOKUP($B10,'Cash Flow'!$F$2:$AJ$2,'Cash Flow'!$F$63:$AJ$63)+LOOKUP($B10,'Cash Flow'!$F$2:$AJ$2,'Cash Flow'!$F$65:$AJ$65))</f>
        <v>67289.033897874047</v>
      </c>
      <c r="L10" s="177">
        <f>IF($B10&gt;Inputs!$G$11,"",LOOKUP($B10,'Cash Flow'!$F$2:$AJ$2,'Cash Flow'!$F$64:$AJ$64)+LOOKUP($B10,'Cash Flow'!$F$2:$AJ$2,'Cash Flow'!$F$66:$AJ$66))</f>
        <v>17859.696741043856</v>
      </c>
      <c r="M10" s="177">
        <f>IF($B10&gt;Inputs!$G$11,"",H10+K10+L10)</f>
        <v>427803.58723758016</v>
      </c>
      <c r="N10" s="177">
        <f>IF($B10&gt;Inputs!$G$11,N9,N9+M10)</f>
        <v>2298999.3612882439</v>
      </c>
      <c r="O10" s="181">
        <f>IF($B10&gt;Inputs!$G$11,"",LOOKUP($B10,'Cash Flow'!$F$2:$AJ$2,'Cash Flow'!$F$68:$AJ$68))</f>
        <v>0.14443289747380139</v>
      </c>
      <c r="P10" s="182">
        <f>IF($B10&gt;Inputs!$G$11,"",LOOKUP($B10,'Cash Flow'!$F$2:$AJ$2,'Cash Flow'!$F$41:$AJ$41))</f>
        <v>1.2496696773866898</v>
      </c>
      <c r="R10" s="391">
        <f>IF($B10&gt;Inputs!$G$11,"",D10+K10+L10)</f>
        <v>2880573.5290062614</v>
      </c>
      <c r="S10" s="392">
        <f>IF($B10&gt;Inputs!$G$11,"",-(E10+F10+G10))</f>
        <v>2452769.9417686812</v>
      </c>
    </row>
    <row r="11" spans="2:19">
      <c r="B11" s="185">
        <v>5</v>
      </c>
      <c r="C11" s="180">
        <f>IF($B11&gt;Inputs!$G$11,"",IF($B11&lt;=Inputs!$Q$7,LOOKUP($B11,'Cash Flow'!$F$2:$AJ$2,'Cash Flow'!$F$14:$AJ$14),LOOKUP($B11,'Cash Flow'!$F$2:$AJ$2,'Cash Flow'!$F$16:$AJ$16)))</f>
        <v>10.050000000000001</v>
      </c>
      <c r="D11" s="177">
        <f>IF($B11&gt;Inputs!$G$11,"",LOOKUP($B11,'Cash Flow'!$F$2:$AJ$2,'Cash Flow'!$F$23:$AJ$23))</f>
        <v>2781923.9548721034</v>
      </c>
      <c r="E11" s="177">
        <f>IF($B11&gt;Inputs!$G$11,"",LOOKUP($B11,'Cash Flow'!$F$2:$AJ$2,'Cash Flow'!$F$35:$AJ$35))</f>
        <v>-1069126.2654985585</v>
      </c>
      <c r="F11" s="177">
        <f>IF($B11&gt;Inputs!$G$11,"",LOOKUP($B11,'Cash Flow'!$F$2:$AJ$2,'Cash Flow'!$F$85:$AJ$85))</f>
        <v>-1372432.8087625818</v>
      </c>
      <c r="G11" s="177">
        <f>IF($B11&gt;Inputs!$G$11,"",LOOKUP($B11,'Cash Flow'!$F$2:$AJ$2,'Cash Flow'!$F$47:$AJ$47)+LOOKUP($B11,'Cash Flow'!$F$2:$AJ$2,'Cash Flow'!$F$48:$AJ$48))</f>
        <v>-25000</v>
      </c>
      <c r="H11" s="177">
        <f>IF($B11&gt;Inputs!$G$11,"",SUM(D11:G11))</f>
        <v>315364.8806109631</v>
      </c>
      <c r="I11" s="177">
        <f>IF($B11&gt;Inputs!$G$11,"",LOOKUP($B11,'Cash Flow'!$F$2:$AJ$2,'Cash Flow'!$F$60:$AJ$60))</f>
        <v>-193009.29341995181</v>
      </c>
      <c r="J11" s="177">
        <f>IF($B11&gt;Inputs!$G$11,"",LOOKUP($B11,'Cash Flow'!$F$2:$AJ$2,'Cash Flow'!$F$61:$AJ$61))</f>
        <v>-193009.29341995181</v>
      </c>
      <c r="K11" s="177">
        <f>IF($B11&gt;Inputs!$G$11,"",LOOKUP($B11,'Cash Flow'!$F$2:$AJ$2,'Cash Flow'!$F$63:$AJ$63)+LOOKUP($B11,'Cash Flow'!$F$2:$AJ$2,'Cash Flow'!$F$65:$AJ$65))</f>
        <v>61811.226217739553</v>
      </c>
      <c r="L11" s="177">
        <f>IF($B11&gt;Inputs!$G$11,"",LOOKUP($B11,'Cash Flow'!$F$2:$AJ$2,'Cash Flow'!$F$64:$AJ$64)+LOOKUP($B11,'Cash Flow'!$F$2:$AJ$2,'Cash Flow'!$F$66:$AJ$66))</f>
        <v>16405.789940695904</v>
      </c>
      <c r="M11" s="177">
        <f>IF($B11&gt;Inputs!$G$11,"",H11+K11+L11)</f>
        <v>393581.89676939859</v>
      </c>
      <c r="N11" s="177">
        <f>IF($B11&gt;Inputs!$G$11,N10,N10+M11)</f>
        <v>2692581.2580576427</v>
      </c>
      <c r="O11" s="181">
        <f>IF($B11&gt;Inputs!$G$11,"",LOOKUP($B11,'Cash Flow'!$F$2:$AJ$2,'Cash Flow'!$F$68:$AJ$68))</f>
        <v>0.15875006817527026</v>
      </c>
      <c r="P11" s="182">
        <f>IF($B11&gt;Inputs!$G$11,"",LOOKUP($B11,'Cash Flow'!$F$2:$AJ$2,'Cash Flow'!$F$41:$AJ$41))</f>
        <v>1.2297852970268932</v>
      </c>
      <c r="R11" s="391">
        <f>IF($B11&gt;Inputs!$G$11,"",D11+K11+L11)</f>
        <v>2860140.9710305389</v>
      </c>
      <c r="S11" s="392">
        <f>IF($B11&gt;Inputs!$G$11,"",-(E11+F11+G11))</f>
        <v>2466559.0742611401</v>
      </c>
    </row>
    <row r="12" spans="2:19">
      <c r="B12" s="179">
        <v>6</v>
      </c>
      <c r="C12" s="180">
        <f>IF($B12&gt;Inputs!$G$11,"",IF($B12&lt;=Inputs!$Q$7,LOOKUP($B12,'Cash Flow'!$F$2:$AJ$2,'Cash Flow'!$F$14:$AJ$14),LOOKUP($B12,'Cash Flow'!$F$2:$AJ$2,'Cash Flow'!$F$16:$AJ$16)))</f>
        <v>10.050000000000001</v>
      </c>
      <c r="D12" s="177">
        <f>IF($B12&gt;Inputs!$G$11,"",LOOKUP($B12,'Cash Flow'!$F$2:$AJ$2,'Cash Flow'!$F$23:$AJ$23))</f>
        <v>2768492.4905943396</v>
      </c>
      <c r="E12" s="177">
        <f>IF($B12&gt;Inputs!$G$11,"",LOOKUP($B12,'Cash Flow'!$F$2:$AJ$2,'Cash Flow'!$F$35:$AJ$35))</f>
        <v>-1083145.917642202</v>
      </c>
      <c r="F12" s="177">
        <f>IF($B12&gt;Inputs!$G$11,"",LOOKUP($B12,'Cash Flow'!$F$2:$AJ$2,'Cash Flow'!$F$85:$AJ$85))</f>
        <v>-1372432.8087625816</v>
      </c>
      <c r="G12" s="177">
        <f>IF($B12&gt;Inputs!$G$11,"",LOOKUP($B12,'Cash Flow'!$F$2:$AJ$2,'Cash Flow'!$F$47:$AJ$47)+LOOKUP($B12,'Cash Flow'!$F$2:$AJ$2,'Cash Flow'!$F$48:$AJ$48))</f>
        <v>-25000</v>
      </c>
      <c r="H12" s="177">
        <f>IF($B12&gt;Inputs!$G$11,"",SUM(D12:G12))</f>
        <v>287913.76418955601</v>
      </c>
      <c r="I12" s="177">
        <f>IF($B12&gt;Inputs!$G$11,"",LOOKUP($B12,'Cash Flow'!$F$2:$AJ$2,'Cash Flow'!$F$60:$AJ$60))</f>
        <v>408140.09852647688</v>
      </c>
      <c r="J12" s="177">
        <f>IF($B12&gt;Inputs!$G$11,"",LOOKUP($B12,'Cash Flow'!$F$2:$AJ$2,'Cash Flow'!$F$61:$AJ$61))</f>
        <v>408140.09852647688</v>
      </c>
      <c r="K12" s="177">
        <f>IF($B12&gt;Inputs!$G$11,"",LOOKUP($B12,'Cash Flow'!$F$2:$AJ$2,'Cash Flow'!$F$63:$AJ$63)+LOOKUP($B12,'Cash Flow'!$F$2:$AJ$2,'Cash Flow'!$F$65:$AJ$65))</f>
        <v>-130706.86655310422</v>
      </c>
      <c r="L12" s="177">
        <f>IF($B12&gt;Inputs!$G$11,"",LOOKUP($B12,'Cash Flow'!$F$2:$AJ$2,'Cash Flow'!$F$64:$AJ$64)+LOOKUP($B12,'Cash Flow'!$F$2:$AJ$2,'Cash Flow'!$F$66:$AJ$66))</f>
        <v>-34691.908374750536</v>
      </c>
      <c r="M12" s="177">
        <f>IF($B12&gt;Inputs!$G$11,"",H12+K12+L12)</f>
        <v>122514.98926170125</v>
      </c>
      <c r="N12" s="177">
        <f>IF($B12&gt;Inputs!$G$11,N11,N11+M12)</f>
        <v>2815096.247319344</v>
      </c>
      <c r="O12" s="181">
        <f>IF($B12&gt;Inputs!$G$11,"",LOOKUP($B12,'Cash Flow'!$F$2:$AJ$2,'Cash Flow'!$F$68:$AJ$68))</f>
        <v>0.16237348196518875</v>
      </c>
      <c r="P12" s="182">
        <f>IF($B12&gt;Inputs!$G$11,"",LOOKUP($B12,'Cash Flow'!$F$2:$AJ$2,'Cash Flow'!$F$41:$AJ$41))</f>
        <v>1.20978350441006</v>
      </c>
      <c r="R12" s="391">
        <f>IF($B12&gt;Inputs!$G$11,"",D12+K12+L12)</f>
        <v>2603093.715666485</v>
      </c>
      <c r="S12" s="392">
        <f>IF($B12&gt;Inputs!$G$11,"",-(E12+F12+G12))</f>
        <v>2480578.7264047833</v>
      </c>
    </row>
    <row r="13" spans="2:19">
      <c r="B13" s="179">
        <v>7</v>
      </c>
      <c r="C13" s="180">
        <f>IF($B13&gt;Inputs!$G$11,"",IF($B13&lt;=Inputs!$Q$7,LOOKUP($B13,'Cash Flow'!$F$2:$AJ$2,'Cash Flow'!$F$14:$AJ$14),LOOKUP($B13,'Cash Flow'!$F$2:$AJ$2,'Cash Flow'!$F$16:$AJ$16)))</f>
        <v>10.050000000000001</v>
      </c>
      <c r="D13" s="177">
        <f>IF($B13&gt;Inputs!$G$11,"",LOOKUP($B13,'Cash Flow'!$F$2:$AJ$2,'Cash Flow'!$F$23:$AJ$23))</f>
        <v>2755130.0586379645</v>
      </c>
      <c r="E13" s="177">
        <f>IF($B13&gt;Inputs!$G$11,"",LOOKUP($B13,'Cash Flow'!$F$2:$AJ$2,'Cash Flow'!$F$35:$AJ$35))</f>
        <v>-1097399.8183144093</v>
      </c>
      <c r="F13" s="177">
        <f>IF($B13&gt;Inputs!$G$11,"",LOOKUP($B13,'Cash Flow'!$F$2:$AJ$2,'Cash Flow'!$F$85:$AJ$85))</f>
        <v>-1372432.808762582</v>
      </c>
      <c r="G13" s="177">
        <f>IF($B13&gt;Inputs!$G$11,"",LOOKUP($B13,'Cash Flow'!$F$2:$AJ$2,'Cash Flow'!$F$47:$AJ$47)+LOOKUP($B13,'Cash Flow'!$F$2:$AJ$2,'Cash Flow'!$F$48:$AJ$48))</f>
        <v>-25000</v>
      </c>
      <c r="H13" s="177">
        <f>IF($B13&gt;Inputs!$G$11,"",SUM(D13:G13))</f>
        <v>260297.43156097317</v>
      </c>
      <c r="I13" s="177">
        <f>IF($B13&gt;Inputs!$G$11,"",LOOKUP($B13,'Cash Flow'!$F$2:$AJ$2,'Cash Flow'!$F$60:$AJ$60))</f>
        <v>1011690.0181764788</v>
      </c>
      <c r="J13" s="177">
        <f>IF($B13&gt;Inputs!$G$11,"",LOOKUP($B13,'Cash Flow'!$F$2:$AJ$2,'Cash Flow'!$F$61:$AJ$61))</f>
        <v>1011690.0181764788</v>
      </c>
      <c r="K13" s="177">
        <f>IF($B13&gt;Inputs!$G$11,"",LOOKUP($B13,'Cash Flow'!$F$2:$AJ$2,'Cash Flow'!$F$63:$AJ$63)+LOOKUP($B13,'Cash Flow'!$F$2:$AJ$2,'Cash Flow'!$F$65:$AJ$65))</f>
        <v>-323993.72832101729</v>
      </c>
      <c r="L13" s="177">
        <f>IF($B13&gt;Inputs!$G$11,"",LOOKUP($B13,'Cash Flow'!$F$2:$AJ$2,'Cash Flow'!$F$64:$AJ$64)+LOOKUP($B13,'Cash Flow'!$F$2:$AJ$2,'Cash Flow'!$F$66:$AJ$66))</f>
        <v>-85993.651545000699</v>
      </c>
      <c r="M13" s="177">
        <f>IF($B13&gt;Inputs!$G$11,"",H13+K13+L13)</f>
        <v>-149689.94830504482</v>
      </c>
      <c r="N13" s="177">
        <f>IF($B13&gt;Inputs!$G$11,N12,N12+M13)</f>
        <v>2665406.2990142992</v>
      </c>
      <c r="O13" s="181">
        <f>IF($B13&gt;Inputs!$G$11,"",LOOKUP($B13,'Cash Flow'!$F$2:$AJ$2,'Cash Flow'!$F$68:$AJ$68))</f>
        <v>0.15854917231508114</v>
      </c>
      <c r="P13" s="182">
        <f>IF($B13&gt;Inputs!$G$11,"",LOOKUP($B13,'Cash Flow'!$F$2:$AJ$2,'Cash Flow'!$F$41:$AJ$41))</f>
        <v>1.1896613297926502</v>
      </c>
      <c r="R13" s="391">
        <f>IF($B13&gt;Inputs!$G$11,"",D13+K13+L13)</f>
        <v>2345142.6787719466</v>
      </c>
      <c r="S13" s="392">
        <f>IF($B13&gt;Inputs!$G$11,"",-(E13+F13+G13))</f>
        <v>2494832.6270769914</v>
      </c>
    </row>
    <row r="14" spans="2:19">
      <c r="B14" s="185">
        <v>8</v>
      </c>
      <c r="C14" s="180">
        <f>IF($B14&gt;Inputs!$G$11,"",IF($B14&lt;=Inputs!$Q$7,LOOKUP($B14,'Cash Flow'!$F$2:$AJ$2,'Cash Flow'!$F$14:$AJ$14),LOOKUP($B14,'Cash Flow'!$F$2:$AJ$2,'Cash Flow'!$F$16:$AJ$16)))</f>
        <v>10.050000000000001</v>
      </c>
      <c r="D14" s="177">
        <f>IF($B14&gt;Inputs!$G$11,"",LOOKUP($B14,'Cash Flow'!$F$2:$AJ$2,'Cash Flow'!$F$23:$AJ$23))</f>
        <v>2741836.3138413713</v>
      </c>
      <c r="E14" s="177">
        <f>IF($B14&gt;Inputs!$G$11,"",LOOKUP($B14,'Cash Flow'!$F$2:$AJ$2,'Cash Flow'!$F$35:$AJ$35))</f>
        <v>-1111891.7588710091</v>
      </c>
      <c r="F14" s="177">
        <f>IF($B14&gt;Inputs!$G$11,"",LOOKUP($B14,'Cash Flow'!$F$2:$AJ$2,'Cash Flow'!$F$85:$AJ$85))</f>
        <v>-1372432.808762582</v>
      </c>
      <c r="G14" s="177">
        <f>IF($B14&gt;Inputs!$G$11,"",LOOKUP($B14,'Cash Flow'!$F$2:$AJ$2,'Cash Flow'!$F$47:$AJ$47)+LOOKUP($B14,'Cash Flow'!$F$2:$AJ$2,'Cash Flow'!$F$48:$AJ$48))</f>
        <v>-25000</v>
      </c>
      <c r="H14" s="177">
        <f>IF($B14&gt;Inputs!$G$11,"",SUM(D14:G14))</f>
        <v>232511.7462077802</v>
      </c>
      <c r="I14" s="177">
        <f>IF($B14&gt;Inputs!$G$11,"",LOOKUP($B14,'Cash Flow'!$F$2:$AJ$2,'Cash Flow'!$F$60:$AJ$60))</f>
        <v>1036553.2013113713</v>
      </c>
      <c r="J14" s="177">
        <f>IF($B14&gt;Inputs!$G$11,"",LOOKUP($B14,'Cash Flow'!$F$2:$AJ$2,'Cash Flow'!$F$61:$AJ$61))</f>
        <v>1036553.2013113713</v>
      </c>
      <c r="K14" s="177">
        <f>IF($B14&gt;Inputs!$G$11,"",LOOKUP($B14,'Cash Flow'!$F$2:$AJ$2,'Cash Flow'!$F$63:$AJ$63)+LOOKUP($B14,'Cash Flow'!$F$2:$AJ$2,'Cash Flow'!$F$65:$AJ$65))</f>
        <v>-331956.16271996661</v>
      </c>
      <c r="L14" s="177">
        <f>IF($B14&gt;Inputs!$G$11,"",LOOKUP($B14,'Cash Flow'!$F$2:$AJ$2,'Cash Flow'!$F$64:$AJ$64)+LOOKUP($B14,'Cash Flow'!$F$2:$AJ$2,'Cash Flow'!$F$66:$AJ$66))</f>
        <v>-88107.022111466562</v>
      </c>
      <c r="M14" s="177">
        <f>IF($B14&gt;Inputs!$G$11,"",H14+K14+L14)</f>
        <v>-187551.43862365297</v>
      </c>
      <c r="N14" s="177">
        <f>IF($B14&gt;Inputs!$G$11,N13,N13+M14)</f>
        <v>2477854.8603906464</v>
      </c>
      <c r="O14" s="181">
        <f>IF($B14&gt;Inputs!$G$11,"",LOOKUP($B14,'Cash Flow'!$F$2:$AJ$2,'Cash Flow'!$F$68:$AJ$68))</f>
        <v>0.15422935650550951</v>
      </c>
      <c r="P14" s="182">
        <f>IF($B14&gt;Inputs!$G$11,"",LOOKUP($B14,'Cash Flow'!$F$2:$AJ$2,'Cash Flow'!$F$41:$AJ$41))</f>
        <v>1.1694157591710579</v>
      </c>
      <c r="R14" s="391">
        <f>IF($B14&gt;Inputs!$G$11,"",D14+K14+L14)</f>
        <v>2321773.1290099383</v>
      </c>
      <c r="S14" s="392">
        <f>IF($B14&gt;Inputs!$G$11,"",-(E14+F14+G14))</f>
        <v>2509324.5676335911</v>
      </c>
    </row>
    <row r="15" spans="2:19">
      <c r="B15" s="179">
        <v>9</v>
      </c>
      <c r="C15" s="180">
        <f>IF($B15&gt;Inputs!$G$11,"",IF($B15&lt;=Inputs!$Q$7,LOOKUP($B15,'Cash Flow'!$F$2:$AJ$2,'Cash Flow'!$F$14:$AJ$14),LOOKUP($B15,'Cash Flow'!$F$2:$AJ$2,'Cash Flow'!$F$16:$AJ$16)))</f>
        <v>10.050000000000001</v>
      </c>
      <c r="D15" s="177">
        <f>IF($B15&gt;Inputs!$G$11,"",LOOKUP($B15,'Cash Flow'!$F$2:$AJ$2,'Cash Flow'!$F$23:$AJ$23))</f>
        <v>2728610.9127687612</v>
      </c>
      <c r="E15" s="177">
        <f>IF($B15&gt;Inputs!$G$11,"",LOOKUP($B15,'Cash Flow'!$F$2:$AJ$2,'Cash Flow'!$F$35:$AJ$35))</f>
        <v>-1126625.5942103942</v>
      </c>
      <c r="F15" s="177">
        <f>IF($B15&gt;Inputs!$G$11,"",LOOKUP($B15,'Cash Flow'!$F$2:$AJ$2,'Cash Flow'!$F$85:$AJ$85))</f>
        <v>-1372432.808762582</v>
      </c>
      <c r="G15" s="177">
        <f>IF($B15&gt;Inputs!$G$11,"",LOOKUP($B15,'Cash Flow'!$F$2:$AJ$2,'Cash Flow'!$F$47:$AJ$47)+LOOKUP($B15,'Cash Flow'!$F$2:$AJ$2,'Cash Flow'!$F$48:$AJ$48))</f>
        <v>-25000</v>
      </c>
      <c r="H15" s="177">
        <f>IF($B15&gt;Inputs!$G$11,"",SUM(D15:G15))</f>
        <v>204552.50979578495</v>
      </c>
      <c r="I15" s="177">
        <f>IF($B15&gt;Inputs!$G$11,"",LOOKUP($B15,'Cash Flow'!$F$2:$AJ$2,'Cash Flow'!$F$60:$AJ$60))</f>
        <v>1064556.0709566274</v>
      </c>
      <c r="J15" s="177">
        <f>IF($B15&gt;Inputs!$G$11,"",LOOKUP($B15,'Cash Flow'!$F$2:$AJ$2,'Cash Flow'!$F$61:$AJ$61))</f>
        <v>1064556.0709566274</v>
      </c>
      <c r="K15" s="177">
        <f>IF($B15&gt;Inputs!$G$11,"",LOOKUP($B15,'Cash Flow'!$F$2:$AJ$2,'Cash Flow'!$F$63:$AJ$63)+LOOKUP($B15,'Cash Flow'!$F$2:$AJ$2,'Cash Flow'!$F$65:$AJ$65))</f>
        <v>-340924.08172385988</v>
      </c>
      <c r="L15" s="177">
        <f>IF($B15&gt;Inputs!$G$11,"",LOOKUP($B15,'Cash Flow'!$F$2:$AJ$2,'Cash Flow'!$F$64:$AJ$64)+LOOKUP($B15,'Cash Flow'!$F$2:$AJ$2,'Cash Flow'!$F$66:$AJ$66))</f>
        <v>-90487.266031313338</v>
      </c>
      <c r="M15" s="177">
        <f>IF($B15&gt;Inputs!$G$11,"",H15+K15+L15)</f>
        <v>-226858.83795938827</v>
      </c>
      <c r="N15" s="177">
        <f>IF($B15&gt;Inputs!$G$11,N14,N14+M15)</f>
        <v>2250996.0224312581</v>
      </c>
      <c r="O15" s="181">
        <f>IF($B15&gt;Inputs!$G$11,"",LOOKUP($B15,'Cash Flow'!$F$2:$AJ$2,'Cash Flow'!$F$68:$AJ$68))</f>
        <v>0.14943445510544606</v>
      </c>
      <c r="P15" s="182">
        <f>IF($B15&gt;Inputs!$G$11,"",LOOKUP($B15,'Cash Flow'!$F$2:$AJ$2,'Cash Flow'!$F$41:$AJ$41))</f>
        <v>1.1490437334999404</v>
      </c>
      <c r="R15" s="391">
        <f>IF($B15&gt;Inputs!$G$11,"",D15+K15+L15)</f>
        <v>2297199.5650135879</v>
      </c>
      <c r="S15" s="392">
        <f>IF($B15&gt;Inputs!$G$11,"",-(E15+F15+G15))</f>
        <v>2524058.4029729762</v>
      </c>
    </row>
    <row r="16" spans="2:19">
      <c r="B16" s="179">
        <v>10</v>
      </c>
      <c r="C16" s="180">
        <f>IF($B16&gt;Inputs!$G$11,"",IF($B16&lt;=Inputs!$Q$7,LOOKUP($B16,'Cash Flow'!$F$2:$AJ$2,'Cash Flow'!$F$14:$AJ$14),LOOKUP($B16,'Cash Flow'!$F$2:$AJ$2,'Cash Flow'!$F$16:$AJ$16)))</f>
        <v>10.050000000000001</v>
      </c>
      <c r="D16" s="177">
        <f>IF($B16&gt;Inputs!$G$11,"",LOOKUP($B16,'Cash Flow'!$F$2:$AJ$2,'Cash Flow'!$F$23:$AJ$23))</f>
        <v>2715453.5137015139</v>
      </c>
      <c r="E16" s="177">
        <f>IF($B16&gt;Inputs!$G$11,"",LOOKUP($B16,'Cash Flow'!$F$2:$AJ$2,'Cash Flow'!$F$35:$AJ$35))</f>
        <v>-1141605.2438561823</v>
      </c>
      <c r="F16" s="177">
        <f>IF($B16&gt;Inputs!$G$11,"",LOOKUP($B16,'Cash Flow'!$F$2:$AJ$2,'Cash Flow'!$F$85:$AJ$85))</f>
        <v>-1372432.8087625818</v>
      </c>
      <c r="G16" s="177">
        <f>IF($B16&gt;Inputs!$G$11,"",LOOKUP($B16,'Cash Flow'!$F$2:$AJ$2,'Cash Flow'!$F$47:$AJ$47)+LOOKUP($B16,'Cash Flow'!$F$2:$AJ$2,'Cash Flow'!$F$48:$AJ$48))</f>
        <v>-25000</v>
      </c>
      <c r="H16" s="177">
        <f>IF($B16&gt;Inputs!$G$11,"",SUM(D16:G16))</f>
        <v>176415.46108274977</v>
      </c>
      <c r="I16" s="177">
        <f>IF($B16&gt;Inputs!$G$11,"",LOOKUP($B16,'Cash Flow'!$F$2:$AJ$2,'Cash Flow'!$F$60:$AJ$60))</f>
        <v>1096263.9546623509</v>
      </c>
      <c r="J16" s="177">
        <f>IF($B16&gt;Inputs!$G$11,"",LOOKUP($B16,'Cash Flow'!$F$2:$AJ$2,'Cash Flow'!$F$61:$AJ$61))</f>
        <v>1096263.9546623509</v>
      </c>
      <c r="K16" s="177">
        <f>IF($B16&gt;Inputs!$G$11,"",LOOKUP($B16,'Cash Flow'!$F$2:$AJ$2,'Cash Flow'!$F$63:$AJ$63)+LOOKUP($B16,'Cash Flow'!$F$2:$AJ$2,'Cash Flow'!$F$65:$AJ$65))</f>
        <v>-351078.53148061788</v>
      </c>
      <c r="L16" s="177">
        <f>IF($B16&gt;Inputs!$G$11,"",LOOKUP($B16,'Cash Flow'!$F$2:$AJ$2,'Cash Flow'!$F$64:$AJ$64)+LOOKUP($B16,'Cash Flow'!$F$2:$AJ$2,'Cash Flow'!$F$66:$AJ$66))</f>
        <v>-93182.436146299835</v>
      </c>
      <c r="M16" s="177">
        <f>IF($B16&gt;Inputs!$G$11,"",H16+K16+L16)</f>
        <v>-267845.50654416793</v>
      </c>
      <c r="N16" s="177">
        <f>IF($B16&gt;Inputs!$G$11,N15,N15+M16)</f>
        <v>1983150.5158870902</v>
      </c>
      <c r="O16" s="181">
        <f>IF($B16&gt;Inputs!$G$11,"",LOOKUP($B16,'Cash Flow'!$F$2:$AJ$2,'Cash Flow'!$F$68:$AJ$68))</f>
        <v>0.1441307734089623</v>
      </c>
      <c r="P16" s="182">
        <f>IF($B16&gt;Inputs!$G$11,"",LOOKUP($B16,'Cash Flow'!$F$2:$AJ$2,'Cash Flow'!$F$41:$AJ$41))</f>
        <v>1.1285421478970692</v>
      </c>
      <c r="R16" s="391">
        <f>IF($B16&gt;Inputs!$G$11,"",D16+K16+L16)</f>
        <v>2271192.5460745962</v>
      </c>
      <c r="S16" s="392">
        <f>IF($B16&gt;Inputs!$G$11,"",-(E16+F16+G16))</f>
        <v>2539038.0526187643</v>
      </c>
    </row>
    <row r="17" spans="2:19">
      <c r="B17" s="185">
        <v>11</v>
      </c>
      <c r="C17" s="180">
        <f>IF($B17&gt;Inputs!$G$11,"",IF($B17&lt;=Inputs!$Q$7,LOOKUP($B17,'Cash Flow'!$F$2:$AJ$2,'Cash Flow'!$F$14:$AJ$14),LOOKUP($B17,'Cash Flow'!$F$2:$AJ$2,'Cash Flow'!$F$16:$AJ$16)))</f>
        <v>10.050000000000001</v>
      </c>
      <c r="D17" s="177">
        <f>IF($B17&gt;Inputs!$G$11,"",LOOKUP($B17,'Cash Flow'!$F$2:$AJ$2,'Cash Flow'!$F$23:$AJ$23))</f>
        <v>2702363.776629603</v>
      </c>
      <c r="E17" s="177">
        <f>IF($B17&gt;Inputs!$G$11,"",LOOKUP($B17,'Cash Flow'!$F$2:$AJ$2,'Cash Flow'!$F$35:$AJ$35))</f>
        <v>-1156834.693058749</v>
      </c>
      <c r="F17" s="177">
        <f>IF($B17&gt;Inputs!$G$11,"",LOOKUP($B17,'Cash Flow'!$F$2:$AJ$2,'Cash Flow'!$F$85:$AJ$85))</f>
        <v>-1372432.8087625818</v>
      </c>
      <c r="G17" s="177">
        <f>IF($B17&gt;Inputs!$G$11,"",LOOKUP($B17,'Cash Flow'!$F$2:$AJ$2,'Cash Flow'!$F$47:$AJ$47)+LOOKUP($B17,'Cash Flow'!$F$2:$AJ$2,'Cash Flow'!$F$48:$AJ$48))</f>
        <v>-25000</v>
      </c>
      <c r="H17" s="177">
        <f>IF($B17&gt;Inputs!$G$11,"",SUM(D17:G17))</f>
        <v>148096.27480827225</v>
      </c>
      <c r="I17" s="177">
        <f>IF($B17&gt;Inputs!$G$11,"",LOOKUP($B17,'Cash Flow'!$F$2:$AJ$2,'Cash Flow'!$F$60:$AJ$60))</f>
        <v>1131943.2834759457</v>
      </c>
      <c r="J17" s="177">
        <f>IF($B17&gt;Inputs!$G$11,"",LOOKUP($B17,'Cash Flow'!$F$2:$AJ$2,'Cash Flow'!$F$61:$AJ$61))</f>
        <v>1131943.2834759457</v>
      </c>
      <c r="K17" s="177">
        <f>IF($B17&gt;Inputs!$G$11,"",LOOKUP($B17,'Cash Flow'!$F$2:$AJ$2,'Cash Flow'!$F$63:$AJ$63)+LOOKUP($B17,'Cash Flow'!$F$2:$AJ$2,'Cash Flow'!$F$65:$AJ$65))</f>
        <v>-362504.83653317159</v>
      </c>
      <c r="L17" s="177">
        <f>IF($B17&gt;Inputs!$G$11,"",LOOKUP($B17,'Cash Flow'!$F$2:$AJ$2,'Cash Flow'!$F$64:$AJ$64)+LOOKUP($B17,'Cash Flow'!$F$2:$AJ$2,'Cash Flow'!$F$66:$AJ$66))</f>
        <v>-96215.179095455387</v>
      </c>
      <c r="M17" s="177">
        <f>IF($B17&gt;Inputs!$G$11,"",H17+K17+L17)</f>
        <v>-310623.74082035472</v>
      </c>
      <c r="N17" s="177">
        <f>IF($B17&gt;Inputs!$G$11,N16,N16+M17)</f>
        <v>1672526.7750667355</v>
      </c>
      <c r="O17" s="181">
        <f>IF($B17&gt;Inputs!$G$11,"",LOOKUP($B17,'Cash Flow'!$F$2:$AJ$2,'Cash Flow'!$F$68:$AJ$68))</f>
        <v>0.13822171791392712</v>
      </c>
      <c r="P17" s="182">
        <f>IF($B17&gt;Inputs!$G$11,"",LOOKUP($B17,'Cash Flow'!$F$2:$AJ$2,'Cash Flow'!$F$41:$AJ$41))</f>
        <v>1.1079078508344604</v>
      </c>
      <c r="R17" s="391">
        <f>IF($B17&gt;Inputs!$G$11,"",D17+K17+L17)</f>
        <v>2243643.761000976</v>
      </c>
      <c r="S17" s="392">
        <f>IF($B17&gt;Inputs!$G$11,"",-(E17+F17+G17))</f>
        <v>2554267.5018213307</v>
      </c>
    </row>
    <row r="18" spans="2:19">
      <c r="B18" s="179">
        <v>12</v>
      </c>
      <c r="C18" s="180">
        <f>IF($B18&gt;Inputs!$G$11,"",IF($B18&lt;=Inputs!$Q$7,LOOKUP($B18,'Cash Flow'!$F$2:$AJ$2,'Cash Flow'!$F$14:$AJ$14),LOOKUP($B18,'Cash Flow'!$F$2:$AJ$2,'Cash Flow'!$F$16:$AJ$16)))</f>
        <v>10.050000000000001</v>
      </c>
      <c r="D18" s="177">
        <f>IF($B18&gt;Inputs!$G$11,"",LOOKUP($B18,'Cash Flow'!$F$2:$AJ$2,'Cash Flow'!$F$23:$AJ$23))</f>
        <v>2689341.3632430518</v>
      </c>
      <c r="E18" s="177">
        <f>IF($B18&gt;Inputs!$G$11,"",LOOKUP($B18,'Cash Flow'!$F$2:$AJ$2,'Cash Flow'!$F$35:$AJ$35))</f>
        <v>-1172317.9939159758</v>
      </c>
      <c r="F18" s="177">
        <f>IF($B18&gt;Inputs!$G$11,"",LOOKUP($B18,'Cash Flow'!$F$2:$AJ$2,'Cash Flow'!$F$85:$AJ$85))</f>
        <v>-1372432.8087625818</v>
      </c>
      <c r="G18" s="177">
        <f>IF($B18&gt;Inputs!$G$11,"",LOOKUP($B18,'Cash Flow'!$F$2:$AJ$2,'Cash Flow'!$F$47:$AJ$47)+LOOKUP($B18,'Cash Flow'!$F$2:$AJ$2,'Cash Flow'!$F$48:$AJ$48))</f>
        <v>-25000</v>
      </c>
      <c r="H18" s="177">
        <f>IF($B18&gt;Inputs!$G$11,"",SUM(D18:G18))</f>
        <v>119590.56056449423</v>
      </c>
      <c r="I18" s="177">
        <f>IF($B18&gt;Inputs!$G$11,"",LOOKUP($B18,'Cash Flow'!$F$2:$AJ$2,'Cash Flow'!$F$60:$AJ$60))</f>
        <v>1171951.5429764048</v>
      </c>
      <c r="J18" s="177">
        <f>IF($B18&gt;Inputs!$G$11,"",LOOKUP($B18,'Cash Flow'!$F$2:$AJ$2,'Cash Flow'!$F$61:$AJ$61))</f>
        <v>1171951.5429764048</v>
      </c>
      <c r="K18" s="177">
        <f>IF($B18&gt;Inputs!$G$11,"",LOOKUP($B18,'Cash Flow'!$F$2:$AJ$2,'Cash Flow'!$F$63:$AJ$63)+LOOKUP($B18,'Cash Flow'!$F$2:$AJ$2,'Cash Flow'!$F$65:$AJ$65))</f>
        <v>-375317.4816381936</v>
      </c>
      <c r="L18" s="177">
        <f>IF($B18&gt;Inputs!$G$11,"",LOOKUP($B18,'Cash Flow'!$F$2:$AJ$2,'Cash Flow'!$F$64:$AJ$64)+LOOKUP($B18,'Cash Flow'!$F$2:$AJ$2,'Cash Flow'!$F$66:$AJ$66))</f>
        <v>-99615.881152994407</v>
      </c>
      <c r="M18" s="177">
        <f>IF($B18&gt;Inputs!$G$11,"",H18+K18+L18)</f>
        <v>-355342.80222669378</v>
      </c>
      <c r="N18" s="177">
        <f>IF($B18&gt;Inputs!$G$11,N17,N17+M18)</f>
        <v>1317183.9728400416</v>
      </c>
      <c r="O18" s="181">
        <f>IF($B18&gt;Inputs!$G$11,"",LOOKUP($B18,'Cash Flow'!$F$2:$AJ$2,'Cash Flow'!$F$68:$AJ$68))</f>
        <v>0.13151398482214516</v>
      </c>
      <c r="P18" s="182">
        <f>IF($B18&gt;Inputs!$G$11,"",LOOKUP($B18,'Cash Flow'!$F$2:$AJ$2,'Cash Flow'!$F$41:$AJ$41))</f>
        <v>1.0871376433155369</v>
      </c>
      <c r="R18" s="391">
        <f>IF($B18&gt;Inputs!$G$11,"",D18+K18+L18)</f>
        <v>2214408.0004518637</v>
      </c>
      <c r="S18" s="392">
        <f>IF($B18&gt;Inputs!$G$11,"",-(E18+F18+G18))</f>
        <v>2569750.8026785576</v>
      </c>
    </row>
    <row r="19" spans="2:19">
      <c r="B19" s="179">
        <v>13</v>
      </c>
      <c r="C19" s="180">
        <f>IF($B19&gt;Inputs!$G$11,"",IF($B19&lt;=Inputs!$Q$7,LOOKUP($B19,'Cash Flow'!$F$2:$AJ$2,'Cash Flow'!$F$14:$AJ$14),LOOKUP($B19,'Cash Flow'!$F$2:$AJ$2,'Cash Flow'!$F$16:$AJ$16)))</f>
        <v>10.050000000000001</v>
      </c>
      <c r="D19" s="177">
        <f>IF($B19&gt;Inputs!$G$11,"",LOOKUP($B19,'Cash Flow'!$F$2:$AJ$2,'Cash Flow'!$F$23:$AJ$23))</f>
        <v>2676385.9369234331</v>
      </c>
      <c r="E19" s="177">
        <f>IF($B19&gt;Inputs!$G$11,"",LOOKUP($B19,'Cash Flow'!$F$2:$AJ$2,'Cash Flow'!$F$35:$AJ$35))</f>
        <v>-1188059.2665135474</v>
      </c>
      <c r="F19" s="177">
        <f>IF($B19&gt;Inputs!$G$11,"",LOOKUP($B19,'Cash Flow'!$F$2:$AJ$2,'Cash Flow'!$F$85:$AJ$85))</f>
        <v>-1372432.8087625818</v>
      </c>
      <c r="G19" s="177">
        <f>IF($B19&gt;Inputs!$G$11,"",LOOKUP($B19,'Cash Flow'!$F$2:$AJ$2,'Cash Flow'!$F$47:$AJ$47)+LOOKUP($B19,'Cash Flow'!$F$2:$AJ$2,'Cash Flow'!$F$48:$AJ$48))</f>
        <v>-25000</v>
      </c>
      <c r="H19" s="177">
        <f>IF($B19&gt;Inputs!$G$11,"",SUM(D19:G19))</f>
        <v>90893.861647303915</v>
      </c>
      <c r="I19" s="177">
        <f>IF($B19&gt;Inputs!$G$11,"",LOOKUP($B19,'Cash Flow'!$F$2:$AJ$2,'Cash Flow'!$F$60:$AJ$60))</f>
        <v>1216529.2333655481</v>
      </c>
      <c r="J19" s="177">
        <f>IF($B19&gt;Inputs!$G$11,"",LOOKUP($B19,'Cash Flow'!$F$2:$AJ$2,'Cash Flow'!$F$61:$AJ$61))</f>
        <v>1216529.2333655481</v>
      </c>
      <c r="K19" s="177">
        <f>IF($B19&gt;Inputs!$G$11,"",LOOKUP($B19,'Cash Flow'!$F$2:$AJ$2,'Cash Flow'!$F$63:$AJ$63)+LOOKUP($B19,'Cash Flow'!$F$2:$AJ$2,'Cash Flow'!$F$65:$AJ$65))</f>
        <v>-389593.48698531679</v>
      </c>
      <c r="L19" s="177">
        <f>IF($B19&gt;Inputs!$G$11,"",LOOKUP($B19,'Cash Flow'!$F$2:$AJ$2,'Cash Flow'!$F$64:$AJ$64)+LOOKUP($B19,'Cash Flow'!$F$2:$AJ$2,'Cash Flow'!$F$66:$AJ$66))</f>
        <v>-103404.9848360716</v>
      </c>
      <c r="M19" s="177">
        <f>IF($B19&gt;Inputs!$G$11,"",H19+K19+L19)</f>
        <v>-402104.61017408449</v>
      </c>
      <c r="N19" s="177">
        <f>IF($B19&gt;Inputs!$G$11,N18,N18+M19)</f>
        <v>915079.36266595707</v>
      </c>
      <c r="O19" s="181">
        <f>IF($B19&gt;Inputs!$G$11,"",LOOKUP($B19,'Cash Flow'!$F$2:$AJ$2,'Cash Flow'!$F$68:$AJ$68))</f>
        <v>0.12363281116472091</v>
      </c>
      <c r="P19" s="182">
        <f>IF($B19&gt;Inputs!$G$11,"",LOOKUP($B19,'Cash Flow'!$F$2:$AJ$2,'Cash Flow'!$F$41:$AJ$41))</f>
        <v>1.0662282780380745</v>
      </c>
      <c r="R19" s="391">
        <f>IF($B19&gt;Inputs!$G$11,"",D19+K19+L19)</f>
        <v>2183387.4651020444</v>
      </c>
      <c r="S19" s="392">
        <f>IF($B19&gt;Inputs!$G$11,"",-(E19+F19+G19))</f>
        <v>2585492.0752761289</v>
      </c>
    </row>
    <row r="20" spans="2:19">
      <c r="B20" s="185">
        <v>14</v>
      </c>
      <c r="C20" s="180">
        <f>IF($B20&gt;Inputs!$G$11,"",IF($B20&lt;=Inputs!$Q$7,LOOKUP($B20,'Cash Flow'!$F$2:$AJ$2,'Cash Flow'!$F$14:$AJ$14),LOOKUP($B20,'Cash Flow'!$F$2:$AJ$2,'Cash Flow'!$F$16:$AJ$16)))</f>
        <v>10.050000000000001</v>
      </c>
      <c r="D20" s="177">
        <f>IF($B20&gt;Inputs!$G$11,"",LOOKUP($B20,'Cash Flow'!$F$2:$AJ$2,'Cash Flow'!$F$23:$AJ$23))</f>
        <v>2663497.1627354128</v>
      </c>
      <c r="E20" s="177">
        <f>IF($B20&gt;Inputs!$G$11,"",LOOKUP($B20,'Cash Flow'!$F$2:$AJ$2,'Cash Flow'!$F$35:$AJ$35))</f>
        <v>-1204062.7000851512</v>
      </c>
      <c r="F20" s="177">
        <f>IF($B20&gt;Inputs!$G$11,"",LOOKUP($B20,'Cash Flow'!$F$2:$AJ$2,'Cash Flow'!$F$85:$AJ$85))</f>
        <v>-1372432.808762582</v>
      </c>
      <c r="G20" s="177">
        <f>IF($B20&gt;Inputs!$G$11,"",LOOKUP($B20,'Cash Flow'!$F$2:$AJ$2,'Cash Flow'!$F$47:$AJ$47)+LOOKUP($B20,'Cash Flow'!$F$2:$AJ$2,'Cash Flow'!$F$48:$AJ$48))</f>
        <v>-25000</v>
      </c>
      <c r="H20" s="177">
        <f>IF($B20&gt;Inputs!$G$11,"",SUM(D20:G20))</f>
        <v>62001.653887679568</v>
      </c>
      <c r="I20" s="177">
        <f>IF($B20&gt;Inputs!$G$11,"",LOOKUP($B20,'Cash Flow'!$F$2:$AJ$2,'Cash Flow'!$F$60:$AJ$60))</f>
        <v>1266076.1847637009</v>
      </c>
      <c r="J20" s="177">
        <f>IF($B20&gt;Inputs!$G$11,"",LOOKUP($B20,'Cash Flow'!$F$2:$AJ$2,'Cash Flow'!$F$61:$AJ$61))</f>
        <v>1266076.1847637009</v>
      </c>
      <c r="K20" s="177">
        <f>IF($B20&gt;Inputs!$G$11,"",LOOKUP($B20,'Cash Flow'!$F$2:$AJ$2,'Cash Flow'!$F$63:$AJ$63)+LOOKUP($B20,'Cash Flow'!$F$2:$AJ$2,'Cash Flow'!$F$65:$AJ$65))</f>
        <v>-405460.89817057515</v>
      </c>
      <c r="L20" s="177">
        <f>IF($B20&gt;Inputs!$G$11,"",LOOKUP($B20,'Cash Flow'!$F$2:$AJ$2,'Cash Flow'!$F$64:$AJ$64)+LOOKUP($B20,'Cash Flow'!$F$2:$AJ$2,'Cash Flow'!$F$66:$AJ$66))</f>
        <v>-107616.47570491458</v>
      </c>
      <c r="M20" s="177">
        <f>IF($B20&gt;Inputs!$G$11,"",H20+K20+L20)</f>
        <v>-451075.71998781018</v>
      </c>
      <c r="N20" s="177">
        <f>IF($B20&gt;Inputs!$G$11,N19,N19+M20)</f>
        <v>464003.64267814689</v>
      </c>
      <c r="O20" s="181">
        <f>IF($B20&gt;Inputs!$G$11,"",LOOKUP($B20,'Cash Flow'!$F$2:$AJ$2,'Cash Flow'!$F$68:$AJ$68))</f>
        <v>0.11376340959850806</v>
      </c>
      <c r="P20" s="182">
        <f>IF($B20&gt;Inputs!$G$11,"",LOOKUP($B20,'Cash Flow'!$F$2:$AJ$2,'Cash Flow'!$F$41:$AJ$41))</f>
        <v>1.0451764585426822</v>
      </c>
      <c r="R20" s="391">
        <f>IF($B20&gt;Inputs!$G$11,"",D20+K20+L20)</f>
        <v>2150419.7888599234</v>
      </c>
      <c r="S20" s="392">
        <f>IF($B20&gt;Inputs!$G$11,"",-(E20+F20+G20))</f>
        <v>2601495.508847733</v>
      </c>
    </row>
    <row r="21" spans="2:19">
      <c r="B21" s="179">
        <v>15</v>
      </c>
      <c r="C21" s="180">
        <f>IF($B21&gt;Inputs!$G$11,"",IF($B21&lt;=Inputs!$Q$7,LOOKUP($B21,'Cash Flow'!$F$2:$AJ$2,'Cash Flow'!$F$14:$AJ$14),LOOKUP($B21,'Cash Flow'!$F$2:$AJ$2,'Cash Flow'!$F$16:$AJ$16)))</f>
        <v>10.050000000000001</v>
      </c>
      <c r="D21" s="177">
        <f>IF($B21&gt;Inputs!$G$11,"",LOOKUP($B21,'Cash Flow'!$F$2:$AJ$2,'Cash Flow'!$F$23:$AJ$23))</f>
        <v>2650674.7074183323</v>
      </c>
      <c r="E21" s="177">
        <f>IF($B21&gt;Inputs!$G$11,"",LOOKUP($B21,'Cash Flow'!$F$2:$AJ$2,'Cash Flow'!$F$35:$AJ$35))</f>
        <v>-1220332.5541929344</v>
      </c>
      <c r="F21" s="177">
        <f>IF($B21&gt;Inputs!$G$11,"",LOOKUP($B21,'Cash Flow'!$F$2:$AJ$2,'Cash Flow'!$F$85:$AJ$85))</f>
        <v>-1372432.8087625818</v>
      </c>
      <c r="G21" s="177">
        <f>IF($B21&gt;Inputs!$G$11,"",LOOKUP($B21,'Cash Flow'!$F$2:$AJ$2,'Cash Flow'!$F$47:$AJ$47)+LOOKUP($B21,'Cash Flow'!$F$2:$AJ$2,'Cash Flow'!$F$48:$AJ$48))</f>
        <v>-25000</v>
      </c>
      <c r="H21" s="177">
        <f>IF($B21&gt;Inputs!$G$11,"",SUM(D21:G21))</f>
        <v>32909.344462816138</v>
      </c>
      <c r="I21" s="177">
        <f>IF($B21&gt;Inputs!$G$11,"",LOOKUP($B21,'Cash Flow'!$F$2:$AJ$2,'Cash Flow'!$F$60:$AJ$60))</f>
        <v>1320878.2130376589</v>
      </c>
      <c r="J21" s="177">
        <f>IF($B21&gt;Inputs!$G$11,"",LOOKUP($B21,'Cash Flow'!$F$2:$AJ$2,'Cash Flow'!$F$61:$AJ$61))</f>
        <v>1320878.2130376589</v>
      </c>
      <c r="K21" s="177">
        <f>IF($B21&gt;Inputs!$G$11,"",LOOKUP($B21,'Cash Flow'!$F$2:$AJ$2,'Cash Flow'!$F$63:$AJ$63)+LOOKUP($B21,'Cash Flow'!$F$2:$AJ$2,'Cash Flow'!$F$65:$AJ$65))</f>
        <v>-423011.24772531021</v>
      </c>
      <c r="L21" s="177">
        <f>IF($B21&gt;Inputs!$G$11,"",LOOKUP($B21,'Cash Flow'!$F$2:$AJ$2,'Cash Flow'!$F$64:$AJ$64)+LOOKUP($B21,'Cash Flow'!$F$2:$AJ$2,'Cash Flow'!$F$66:$AJ$66))</f>
        <v>-112274.64810820101</v>
      </c>
      <c r="M21" s="177">
        <f>IF($B21&gt;Inputs!$G$11,"",H21+K21+L21)</f>
        <v>-502376.55137069512</v>
      </c>
      <c r="N21" s="177">
        <f>IF($B21&gt;Inputs!$G$11,N20,N20+M21)</f>
        <v>-38372.908692548226</v>
      </c>
      <c r="O21" s="181">
        <f>IF($B21&gt;Inputs!$G$11,"",LOOKUP($B21,'Cash Flow'!$F$2:$AJ$2,'Cash Flow'!$F$68:$AJ$68))</f>
        <v>9.9514156730813985E-2</v>
      </c>
      <c r="P21" s="182">
        <f>IF($B21&gt;Inputs!$G$11,"",LOOKUP($B21,'Cash Flow'!$F$2:$AJ$2,'Cash Flow'!$F$41:$AJ$41))</f>
        <v>1.0239788383465476</v>
      </c>
      <c r="R21" s="391">
        <f>IF($B21&gt;Inputs!$G$11,"",D21+K21+L21)</f>
        <v>2115388.811584821</v>
      </c>
      <c r="S21" s="392">
        <f>IF($B21&gt;Inputs!$G$11,"",-(E21+F21+G21))</f>
        <v>2617765.3629555162</v>
      </c>
    </row>
    <row r="22" spans="2:19" ht="15">
      <c r="B22" s="179">
        <v>16</v>
      </c>
      <c r="C22" s="180">
        <f>IF($B22&gt;Inputs!$G$11,"",IF($B22&lt;=Inputs!$Q$7,LOOKUP($B22,'Cash Flow'!$F$2:$AJ$2,'Cash Flow'!$F$14:$AJ$14),LOOKUP($B22,'Cash Flow'!$F$2:$AJ$2,'Cash Flow'!$F$16:$AJ$16)))</f>
        <v>10.050000000000001</v>
      </c>
      <c r="D22" s="177">
        <f>IF($B22&gt;Inputs!$G$11,"",LOOKUP($B22,'Cash Flow'!$F$2:$AJ$2,'Cash Flow'!$F$23:$AJ$23))</f>
        <v>2632771.6163449776</v>
      </c>
      <c r="E22" s="177">
        <f>IF($B22&gt;Inputs!$G$11,"",LOOKUP($B22,'Cash Flow'!$F$2:$AJ$2,'Cash Flow'!$F$35:$AJ$35))</f>
        <v>-1236873.1599285754</v>
      </c>
      <c r="F22" s="177">
        <f>IF($B22&gt;Inputs!$G$11,"",LOOKUP($B22,'Cash Flow'!$F$2:$AJ$2,'Cash Flow'!$F$85:$AJ$85))</f>
        <v>0</v>
      </c>
      <c r="G22" s="177">
        <f>IF($B22&gt;Inputs!$G$11,"",LOOKUP($B22,'Cash Flow'!$F$2:$AJ$2,'Cash Flow'!$F$47:$AJ$47)+LOOKUP($B22,'Cash Flow'!$F$2:$AJ$2,'Cash Flow'!$F$48:$AJ$48))</f>
        <v>661216.40438129089</v>
      </c>
      <c r="H22" s="177">
        <f>IF($B22&gt;Inputs!$G$11,"",SUM(D22:G22))</f>
        <v>2057114.860797693</v>
      </c>
      <c r="I22" s="177">
        <f>IF($B22&gt;Inputs!$G$11,"",LOOKUP($B22,'Cash Flow'!$F$2:$AJ$2,'Cash Flow'!$F$60:$AJ$60))</f>
        <v>1380988.3639164022</v>
      </c>
      <c r="J22" s="177">
        <f>IF($B22&gt;Inputs!$G$11,"",LOOKUP($B22,'Cash Flow'!$F$2:$AJ$2,'Cash Flow'!$F$61:$AJ$61))</f>
        <v>1380988.3639164022</v>
      </c>
      <c r="K22" s="177">
        <f>IF($B22&gt;Inputs!$G$11,"",LOOKUP($B22,'Cash Flow'!$F$2:$AJ$2,'Cash Flow'!$F$63:$AJ$63)+LOOKUP($B22,'Cash Flow'!$F$2:$AJ$2,'Cash Flow'!$F$65:$AJ$65))</f>
        <v>-442261.52354422776</v>
      </c>
      <c r="L22" s="177">
        <f>IF($B22&gt;Inputs!$G$11,"",LOOKUP($B22,'Cash Flow'!$F$2:$AJ$2,'Cash Flow'!$F$64:$AJ$64)+LOOKUP($B22,'Cash Flow'!$F$2:$AJ$2,'Cash Flow'!$F$66:$AJ$66))</f>
        <v>-117384.01093289419</v>
      </c>
      <c r="M22" s="177">
        <f>IF($B22&gt;Inputs!$G$11,"",H22+K22+L22)</f>
        <v>1497469.3263205711</v>
      </c>
      <c r="N22" s="177">
        <f>IF($B22&gt;Inputs!$G$11,N21,N21+M22)</f>
        <v>1459096.4176280228</v>
      </c>
      <c r="O22" s="181">
        <f>IF($B22&gt;Inputs!$G$11,"",LOOKUP($B22,'Cash Flow'!$F$2:$AJ$2,'Cash Flow'!$F$68:$AJ$68))</f>
        <v>0.12865441768322272</v>
      </c>
      <c r="P22" s="182" t="str">
        <f>IF($B22&gt;Inputs!$G$11,"",LOOKUP($B22,'Cash Flow'!$F$2:$AJ$2,'Cash Flow'!$F$41:$AJ$41))</f>
        <v>N/A</v>
      </c>
      <c r="R22" s="391">
        <f>IF($B22&gt;Inputs!$G$11,"",D22+K22+L22)</f>
        <v>2073126.0818678557</v>
      </c>
      <c r="S22" s="392">
        <f>IF($B22&gt;Inputs!$G$11,"",-(E22+F22+G22))</f>
        <v>575656.7555472845</v>
      </c>
    </row>
    <row r="23" spans="2:19" ht="15">
      <c r="B23" s="185">
        <v>17</v>
      </c>
      <c r="C23" s="180">
        <f>IF($B23&gt;Inputs!$G$11,"",IF($B23&lt;=Inputs!$Q$7,LOOKUP($B23,'Cash Flow'!$F$2:$AJ$2,'Cash Flow'!$F$14:$AJ$14),LOOKUP($B23,'Cash Flow'!$F$2:$AJ$2,'Cash Flow'!$F$16:$AJ$16)))</f>
        <v>10.050000000000001</v>
      </c>
      <c r="D23" s="177">
        <f>IF($B23&gt;Inputs!$G$11,"",LOOKUP($B23,'Cash Flow'!$F$2:$AJ$2,'Cash Flow'!$F$23:$AJ$23))</f>
        <v>2614934.1826118254</v>
      </c>
      <c r="E23" s="177">
        <f>IF($B23&gt;Inputs!$G$11,"",LOOKUP($B23,'Cash Flow'!$F$2:$AJ$2,'Cash Flow'!$F$35:$AJ$35))</f>
        <v>-1253688.9211353413</v>
      </c>
      <c r="F23" s="177">
        <f>IF($B23&gt;Inputs!$G$11,"",LOOKUP($B23,'Cash Flow'!$F$2:$AJ$2,'Cash Flow'!$F$85:$AJ$85))</f>
        <v>0</v>
      </c>
      <c r="G23" s="177">
        <f>IF($B23&gt;Inputs!$G$11,"",LOOKUP($B23,'Cash Flow'!$F$2:$AJ$2,'Cash Flow'!$F$47:$AJ$47)+LOOKUP($B23,'Cash Flow'!$F$2:$AJ$2,'Cash Flow'!$F$48:$AJ$48))</f>
        <v>-25000</v>
      </c>
      <c r="H23" s="177">
        <f>IF($B23&gt;Inputs!$G$11,"",SUM(D23:G23))</f>
        <v>1336245.2614764841</v>
      </c>
      <c r="I23" s="177">
        <f>IF($B23&gt;Inputs!$G$11,"",LOOKUP($B23,'Cash Flow'!$F$2:$AJ$2,'Cash Flow'!$F$60:$AJ$60))</f>
        <v>1351085.4389764841</v>
      </c>
      <c r="J23" s="177">
        <f>IF($B23&gt;Inputs!$G$11,"",LOOKUP($B23,'Cash Flow'!$F$2:$AJ$2,'Cash Flow'!$F$61:$AJ$61))</f>
        <v>1351085.4389764841</v>
      </c>
      <c r="K23" s="177">
        <f>IF($B23&gt;Inputs!$G$11,"",LOOKUP($B23,'Cash Flow'!$F$2:$AJ$2,'Cash Flow'!$F$63:$AJ$63)+LOOKUP($B23,'Cash Flow'!$F$2:$AJ$2,'Cash Flow'!$F$65:$AJ$65))</f>
        <v>-432685.11183221906</v>
      </c>
      <c r="L23" s="177">
        <f>IF($B23&gt;Inputs!$G$11,"",LOOKUP($B23,'Cash Flow'!$F$2:$AJ$2,'Cash Flow'!$F$64:$AJ$64)+LOOKUP($B23,'Cash Flow'!$F$2:$AJ$2,'Cash Flow'!$F$66:$AJ$66))</f>
        <v>-114842.26231300116</v>
      </c>
      <c r="M23" s="177">
        <f>IF($B23&gt;Inputs!$G$11,"",H23+K23+L23)</f>
        <v>788717.88733126386</v>
      </c>
      <c r="N23" s="177">
        <f>IF($B23&gt;Inputs!$G$11,N22,N22+M23)</f>
        <v>2247814.3049592869</v>
      </c>
      <c r="O23" s="181">
        <f>IF($B23&gt;Inputs!$G$11,"",LOOKUP($B23,'Cash Flow'!$F$2:$AJ$2,'Cash Flow'!$F$68:$AJ$68))</f>
        <v>0.13665321408002962</v>
      </c>
      <c r="P23" s="182" t="str">
        <f>IF($B23&gt;Inputs!$G$11,"",LOOKUP($B23,'Cash Flow'!$F$2:$AJ$2,'Cash Flow'!$F$41:$AJ$41))</f>
        <v>N/A</v>
      </c>
      <c r="R23" s="391">
        <f>IF($B23&gt;Inputs!$G$11,"",D23+K23+L23)</f>
        <v>2067406.8084666051</v>
      </c>
      <c r="S23" s="392">
        <f>IF($B23&gt;Inputs!$G$11,"",-(E23+F23+G23))</f>
        <v>1278688.9211353413</v>
      </c>
    </row>
    <row r="24" spans="2:19" ht="15">
      <c r="B24" s="179">
        <v>18</v>
      </c>
      <c r="C24" s="180">
        <f>IF($B24&gt;Inputs!$G$11,"",IF($B24&lt;=Inputs!$Q$7,LOOKUP($B24,'Cash Flow'!$F$2:$AJ$2,'Cash Flow'!$F$14:$AJ$14),LOOKUP($B24,'Cash Flow'!$F$2:$AJ$2,'Cash Flow'!$F$16:$AJ$16)))</f>
        <v>10.050000000000001</v>
      </c>
      <c r="D24" s="177">
        <f>IF($B24&gt;Inputs!$G$11,"",LOOKUP($B24,'Cash Flow'!$F$2:$AJ$2,'Cash Flow'!$F$23:$AJ$23))</f>
        <v>2602308.7009650343</v>
      </c>
      <c r="E24" s="177">
        <f>IF($B24&gt;Inputs!$G$11,"",LOOKUP($B24,'Cash Flow'!$F$2:$AJ$2,'Cash Flow'!$F$35:$AJ$35))</f>
        <v>-1270784.3156515053</v>
      </c>
      <c r="F24" s="177">
        <f>IF($B24&gt;Inputs!$G$11,"",LOOKUP($B24,'Cash Flow'!$F$2:$AJ$2,'Cash Flow'!$F$85:$AJ$85))</f>
        <v>0</v>
      </c>
      <c r="G24" s="177">
        <f>IF($B24&gt;Inputs!$G$11,"",LOOKUP($B24,'Cash Flow'!$F$2:$AJ$2,'Cash Flow'!$F$47:$AJ$47)+LOOKUP($B24,'Cash Flow'!$F$2:$AJ$2,'Cash Flow'!$F$48:$AJ$48))</f>
        <v>-25000</v>
      </c>
      <c r="H24" s="177">
        <f>IF($B24&gt;Inputs!$G$11,"",SUM(D24:G24))</f>
        <v>1306524.3853135291</v>
      </c>
      <c r="I24" s="177">
        <f>IF($B24&gt;Inputs!$G$11,"",LOOKUP($B24,'Cash Flow'!$F$2:$AJ$2,'Cash Flow'!$F$60:$AJ$60))</f>
        <v>1321365.636563529</v>
      </c>
      <c r="J24" s="177">
        <f>IF($B24&gt;Inputs!$G$11,"",LOOKUP($B24,'Cash Flow'!$F$2:$AJ$2,'Cash Flow'!$F$61:$AJ$61))</f>
        <v>1321365.636563529</v>
      </c>
      <c r="K24" s="177">
        <f>IF($B24&gt;Inputs!$G$11,"",LOOKUP($B24,'Cash Flow'!$F$2:$AJ$2,'Cash Flow'!$F$63:$AJ$63)+LOOKUP($B24,'Cash Flow'!$F$2:$AJ$2,'Cash Flow'!$F$65:$AJ$65))</f>
        <v>-423167.34510947019</v>
      </c>
      <c r="L24" s="177">
        <f>IF($B24&gt;Inputs!$G$11,"",LOOKUP($B24,'Cash Flow'!$F$2:$AJ$2,'Cash Flow'!$F$64:$AJ$64)+LOOKUP($B24,'Cash Flow'!$F$2:$AJ$2,'Cash Flow'!$F$66:$AJ$66))</f>
        <v>-112316.07910789998</v>
      </c>
      <c r="M24" s="177">
        <f>IF($B24&gt;Inputs!$G$11,"",H24+K24+L24)</f>
        <v>771040.96109615895</v>
      </c>
      <c r="N24" s="177">
        <f>IF($B24&gt;Inputs!$G$11,N23,N23+M24)</f>
        <v>3018855.2660554461</v>
      </c>
      <c r="O24" s="181">
        <f>IF($B24&gt;Inputs!$G$11,"",LOOKUP($B24,'Cash Flow'!$F$2:$AJ$2,'Cash Flow'!$F$68:$AJ$68))</f>
        <v>0.14231737642480469</v>
      </c>
      <c r="P24" s="182" t="str">
        <f>IF($B24&gt;Inputs!$G$11,"",LOOKUP($B24,'Cash Flow'!$F$2:$AJ$2,'Cash Flow'!$F$41:$AJ$41))</f>
        <v>N/A</v>
      </c>
      <c r="R24" s="391">
        <f>IF($B24&gt;Inputs!$G$11,"",D24+K24+L24)</f>
        <v>2066825.2767476642</v>
      </c>
      <c r="S24" s="392">
        <f>IF($B24&gt;Inputs!$G$11,"",-(E24+F24+G24))</f>
        <v>1295784.3156515053</v>
      </c>
    </row>
    <row r="25" spans="2:19" ht="15">
      <c r="B25" s="179">
        <v>19</v>
      </c>
      <c r="C25" s="180">
        <f>IF($B25&gt;Inputs!$G$11,"",IF($B25&lt;=Inputs!$Q$7,LOOKUP($B25,'Cash Flow'!$F$2:$AJ$2,'Cash Flow'!$F$14:$AJ$14),LOOKUP($B25,'Cash Flow'!$F$2:$AJ$2,'Cash Flow'!$F$16:$AJ$16)))</f>
        <v>10.050000000000001</v>
      </c>
      <c r="D25" s="177">
        <f>IF($B25&gt;Inputs!$G$11,"",LOOKUP($B25,'Cash Flow'!$F$2:$AJ$2,'Cash Flow'!$F$23:$AJ$23))</f>
        <v>2589748.2217264771</v>
      </c>
      <c r="E25" s="177">
        <f>IF($B25&gt;Inputs!$G$11,"",LOOKUP($B25,'Cash Flow'!$F$2:$AJ$2,'Cash Flow'!$F$35:$AJ$35))</f>
        <v>-1288163.8965755005</v>
      </c>
      <c r="F25" s="177">
        <f>IF($B25&gt;Inputs!$G$11,"",LOOKUP($B25,'Cash Flow'!$F$2:$AJ$2,'Cash Flow'!$F$85:$AJ$85))</f>
        <v>0</v>
      </c>
      <c r="G25" s="177">
        <f>IF($B25&gt;Inputs!$G$11,"",LOOKUP($B25,'Cash Flow'!$F$2:$AJ$2,'Cash Flow'!$F$47:$AJ$47)+LOOKUP($B25,'Cash Flow'!$F$2:$AJ$2,'Cash Flow'!$F$48:$AJ$48))</f>
        <v>-25000</v>
      </c>
      <c r="H25" s="177">
        <f>IF($B25&gt;Inputs!$G$11,"",SUM(D25:G25))</f>
        <v>1276584.3251509767</v>
      </c>
      <c r="I25" s="177">
        <f>IF($B25&gt;Inputs!$G$11,"",LOOKUP($B25,'Cash Flow'!$F$2:$AJ$2,'Cash Flow'!$F$60:$AJ$60))</f>
        <v>1291424.5026509766</v>
      </c>
      <c r="J25" s="177">
        <f>IF($B25&gt;Inputs!$G$11,"",LOOKUP($B25,'Cash Flow'!$F$2:$AJ$2,'Cash Flow'!$F$61:$AJ$61))</f>
        <v>1291424.5026509766</v>
      </c>
      <c r="K25" s="177">
        <f>IF($B25&gt;Inputs!$G$11,"",LOOKUP($B25,'Cash Flow'!$F$2:$AJ$2,'Cash Flow'!$F$63:$AJ$63)+LOOKUP($B25,'Cash Flow'!$F$2:$AJ$2,'Cash Flow'!$F$65:$AJ$65))</f>
        <v>-413578.69697397522</v>
      </c>
      <c r="L25" s="177">
        <f>IF($B25&gt;Inputs!$G$11,"",LOOKUP($B25,'Cash Flow'!$F$2:$AJ$2,'Cash Flow'!$F$64:$AJ$64)+LOOKUP($B25,'Cash Flow'!$F$2:$AJ$2,'Cash Flow'!$F$66:$AJ$66))</f>
        <v>-109771.08272533302</v>
      </c>
      <c r="M25" s="177">
        <f>IF($B25&gt;Inputs!$G$11,"",H25+K25+L25)</f>
        <v>753234.54545166832</v>
      </c>
      <c r="N25" s="177">
        <f>IF($B25&gt;Inputs!$G$11,N24,N24+M25)</f>
        <v>3772089.8115071142</v>
      </c>
      <c r="O25" s="181">
        <f>IF($B25&gt;Inputs!$G$11,"",LOOKUP($B25,'Cash Flow'!$F$2:$AJ$2,'Cash Flow'!$F$68:$AJ$68))</f>
        <v>0.14651693508654096</v>
      </c>
      <c r="P25" s="182" t="str">
        <f>IF($B25&gt;Inputs!$G$11,"",LOOKUP($B25,'Cash Flow'!$F$2:$AJ$2,'Cash Flow'!$F$41:$AJ$41))</f>
        <v>N/A</v>
      </c>
      <c r="R25" s="391">
        <f>IF($B25&gt;Inputs!$G$11,"",D25+K25+L25)</f>
        <v>2066398.4420271688</v>
      </c>
      <c r="S25" s="392">
        <f>IF($B25&gt;Inputs!$G$11,"",-(E25+F25+G25))</f>
        <v>1313163.8965755005</v>
      </c>
    </row>
    <row r="26" spans="2:19" ht="15">
      <c r="B26" s="185">
        <v>20</v>
      </c>
      <c r="C26" s="180">
        <f>IF($B26&gt;Inputs!$G$11,"",IF($B26&lt;=Inputs!$Q$7,LOOKUP($B26,'Cash Flow'!$F$2:$AJ$2,'Cash Flow'!$F$14:$AJ$14),LOOKUP($B26,'Cash Flow'!$F$2:$AJ$2,'Cash Flow'!$F$16:$AJ$16)))</f>
        <v>10.050000000000001</v>
      </c>
      <c r="D26" s="177">
        <f>IF($B26&gt;Inputs!$G$11,"",LOOKUP($B26,'Cash Flow'!$F$2:$AJ$2,'Cash Flow'!$F$23:$AJ$23))</f>
        <v>2572927.2432573014</v>
      </c>
      <c r="E26" s="177">
        <f>IF($B26&gt;Inputs!$G$11,"",LOOKUP($B26,'Cash Flow'!$F$2:$AJ$2,'Cash Flow'!$F$35:$AJ$35))</f>
        <v>-1305832.2935532064</v>
      </c>
      <c r="F26" s="177">
        <f>IF($B26&gt;Inputs!$G$11,"",LOOKUP($B26,'Cash Flow'!$F$2:$AJ$2,'Cash Flow'!$F$85:$AJ$85))</f>
        <v>0</v>
      </c>
      <c r="G26" s="177">
        <f>IF($B26&gt;Inputs!$G$11,"",LOOKUP($B26,'Cash Flow'!$F$2:$AJ$2,'Cash Flow'!$F$47:$AJ$47)+LOOKUP($B26,'Cash Flow'!$F$2:$AJ$2,'Cash Flow'!$F$48:$AJ$48))</f>
        <v>551690.21690823347</v>
      </c>
      <c r="H26" s="177">
        <f>IF($B26&gt;Inputs!$G$11,"",SUM(D26:G26))</f>
        <v>1818785.1666123285</v>
      </c>
      <c r="I26" s="177">
        <f>IF($B26&gt;Inputs!$G$11,"",LOOKUP($B26,'Cash Flow'!$F$2:$AJ$2,'Cash Flow'!$F$60:$AJ$60))</f>
        <v>1256936.200954095</v>
      </c>
      <c r="J26" s="177">
        <f>IF($B26&gt;Inputs!$G$11,"",LOOKUP($B26,'Cash Flow'!$F$2:$AJ$2,'Cash Flow'!$F$61:$AJ$61))</f>
        <v>1256936.200954095</v>
      </c>
      <c r="K26" s="177">
        <f>IF($B26&gt;Inputs!$G$11,"",LOOKUP($B26,'Cash Flow'!$F$2:$AJ$2,'Cash Flow'!$F$63:$AJ$63)+LOOKUP($B26,'Cash Flow'!$F$2:$AJ$2,'Cash Flow'!$F$65:$AJ$65))</f>
        <v>-402533.81835554895</v>
      </c>
      <c r="L26" s="177">
        <f>IF($B26&gt;Inputs!$G$11,"",LOOKUP($B26,'Cash Flow'!$F$2:$AJ$2,'Cash Flow'!$F$64:$AJ$64)+LOOKUP($B26,'Cash Flow'!$F$2:$AJ$2,'Cash Flow'!$F$66:$AJ$66))</f>
        <v>-106839.57708109808</v>
      </c>
      <c r="M26" s="177">
        <f>IF($B26&gt;Inputs!$G$11,"",H26+K26+L26)</f>
        <v>1309411.7711756816</v>
      </c>
      <c r="N26" s="177">
        <f>IF($B26&gt;Inputs!$G$11,N25,N25+M26)</f>
        <v>5081501.5826827958</v>
      </c>
      <c r="O26" s="181">
        <f>IF($B26&gt;Inputs!$G$11,"",LOOKUP($B26,'Cash Flow'!$F$2:$AJ$2,'Cash Flow'!$F$68:$AJ$68))</f>
        <v>0.15202182529366803</v>
      </c>
      <c r="P26" s="182" t="str">
        <f>IF($B26&gt;Inputs!$G$11,"",LOOKUP($B26,'Cash Flow'!$F$2:$AJ$2,'Cash Flow'!$F$41:$AJ$41))</f>
        <v>N/A</v>
      </c>
      <c r="R26" s="391">
        <f>IF($B26&gt;Inputs!$G$11,"",D26+K26+L26)</f>
        <v>2063553.8478206543</v>
      </c>
      <c r="S26" s="392">
        <f>IF($B26&gt;Inputs!$G$11,"",-(E26+F26+G26))</f>
        <v>754142.0766449729</v>
      </c>
    </row>
    <row r="27" spans="2:19" ht="15">
      <c r="B27" s="179">
        <v>21</v>
      </c>
      <c r="C27" s="180" t="str">
        <f>IF($B27&gt;Inputs!$G$11,"",IF($B27&lt;=Inputs!$Q$7,LOOKUP($B27,'Cash Flow'!$F$2:$AJ$2,'Cash Flow'!$F$14:$AJ$14),LOOKUP($B27,'Cash Flow'!$F$2:$AJ$2,'Cash Flow'!$F$16:$AJ$16)))</f>
        <v/>
      </c>
      <c r="D27" s="177" t="str">
        <f>IF($B27&gt;Inputs!$G$11,"",LOOKUP($B27,'Cash Flow'!$F$2:$AJ$2,'Cash Flow'!$F$23:$AJ$23))</f>
        <v/>
      </c>
      <c r="E27" s="177" t="str">
        <f>IF($B27&gt;Inputs!$G$11,"",LOOKUP($B27,'Cash Flow'!$F$2:$AJ$2,'Cash Flow'!$F$35:$AJ$35))</f>
        <v/>
      </c>
      <c r="F27" s="177" t="str">
        <f>IF($B27&gt;Inputs!$G$11,"",LOOKUP($B27,'Cash Flow'!$F$2:$AJ$2,'Cash Flow'!$F$85:$AJ$85))</f>
        <v/>
      </c>
      <c r="G27" s="177" t="str">
        <f>IF($B27&gt;Inputs!$G$11,"",LOOKUP($B27,'Cash Flow'!$F$2:$AJ$2,'Cash Flow'!$F$47:$AJ$47)+LOOKUP($B27,'Cash Flow'!$F$2:$AJ$2,'Cash Flow'!$F$48:$AJ$48))</f>
        <v/>
      </c>
      <c r="H27" s="177" t="str">
        <f>IF($B27&gt;Inputs!$G$11,"",SUM(D27:G27))</f>
        <v/>
      </c>
      <c r="I27" s="177" t="str">
        <f>IF($B27&gt;Inputs!$G$11,"",LOOKUP($B27,'Cash Flow'!$F$2:$AJ$2,'Cash Flow'!$F$60:$AJ$60))</f>
        <v/>
      </c>
      <c r="J27" s="177" t="str">
        <f>IF($B27&gt;Inputs!$G$11,"",LOOKUP($B27,'Cash Flow'!$F$2:$AJ$2,'Cash Flow'!$F$61:$AJ$61))</f>
        <v/>
      </c>
      <c r="K27" s="177" t="str">
        <f>IF($B27&gt;Inputs!$G$11,"",LOOKUP($B27,'Cash Flow'!$F$2:$AJ$2,'Cash Flow'!$F$63:$AJ$63)+LOOKUP($B27,'Cash Flow'!$F$2:$AJ$2,'Cash Flow'!$F$65:$AJ$65))</f>
        <v/>
      </c>
      <c r="L27" s="177" t="str">
        <f>IF($B27&gt;Inputs!$G$11,"",LOOKUP($B27,'Cash Flow'!$F$2:$AJ$2,'Cash Flow'!$F$64:$AJ$64)+LOOKUP($B27,'Cash Flow'!$F$2:$AJ$2,'Cash Flow'!$F$66:$AJ$66))</f>
        <v/>
      </c>
      <c r="M27" s="177" t="str">
        <f>IF($B27&gt;Inputs!$G$11,"",H27+K27+L27)</f>
        <v/>
      </c>
      <c r="N27" s="177">
        <f>IF($B27&gt;Inputs!$G$11,N26,N26+M27)</f>
        <v>5081501.5826827958</v>
      </c>
      <c r="O27" s="181" t="str">
        <f>IF($B27&gt;Inputs!$G$11,"",LOOKUP($B27,'Cash Flow'!$F$2:$AJ$2,'Cash Flow'!$F$68:$AJ$68))</f>
        <v/>
      </c>
      <c r="P27" s="182" t="str">
        <f>IF($B27&gt;Inputs!$G$11,"",LOOKUP($B27,'Cash Flow'!$F$2:$AJ$2,'Cash Flow'!$F$41:$AJ$41))</f>
        <v/>
      </c>
      <c r="R27" s="391" t="str">
        <f>IF($B27&gt;Inputs!$G$11,"",D27+K27+L27)</f>
        <v/>
      </c>
      <c r="S27" s="392" t="str">
        <f>IF($B27&gt;Inputs!$G$11,"",-(E27+F27+G27))</f>
        <v/>
      </c>
    </row>
    <row r="28" spans="2:19" ht="15">
      <c r="B28" s="179">
        <v>22</v>
      </c>
      <c r="C28" s="180" t="str">
        <f>IF($B28&gt;Inputs!$G$11,"",IF($B28&lt;=Inputs!$Q$7,LOOKUP($B28,'Cash Flow'!$F$2:$AJ$2,'Cash Flow'!$F$14:$AJ$14),LOOKUP($B28,'Cash Flow'!$F$2:$AJ$2,'Cash Flow'!$F$16:$AJ$16)))</f>
        <v/>
      </c>
      <c r="D28" s="177" t="str">
        <f>IF($B28&gt;Inputs!$G$11,"",LOOKUP($B28,'Cash Flow'!$F$2:$AJ$2,'Cash Flow'!$F$23:$AJ$23))</f>
        <v/>
      </c>
      <c r="E28" s="177" t="str">
        <f>IF($B28&gt;Inputs!$G$11,"",LOOKUP($B28,'Cash Flow'!$F$2:$AJ$2,'Cash Flow'!$F$35:$AJ$35))</f>
        <v/>
      </c>
      <c r="F28" s="177" t="str">
        <f>IF($B28&gt;Inputs!$G$11,"",LOOKUP($B28,'Cash Flow'!$F$2:$AJ$2,'Cash Flow'!$F$85:$AJ$85))</f>
        <v/>
      </c>
      <c r="G28" s="177" t="str">
        <f>IF($B28&gt;Inputs!$G$11,"",LOOKUP($B28,'Cash Flow'!$F$2:$AJ$2,'Cash Flow'!$F$47:$AJ$47)+LOOKUP($B28,'Cash Flow'!$F$2:$AJ$2,'Cash Flow'!$F$48:$AJ$48))</f>
        <v/>
      </c>
      <c r="H28" s="177" t="str">
        <f>IF($B28&gt;Inputs!$G$11,"",SUM(D28:G28))</f>
        <v/>
      </c>
      <c r="I28" s="177" t="str">
        <f>IF($B28&gt;Inputs!$G$11,"",LOOKUP($B28,'Cash Flow'!$F$2:$AJ$2,'Cash Flow'!$F$60:$AJ$60))</f>
        <v/>
      </c>
      <c r="J28" s="177" t="str">
        <f>IF($B28&gt;Inputs!$G$11,"",LOOKUP($B28,'Cash Flow'!$F$2:$AJ$2,'Cash Flow'!$F$61:$AJ$61))</f>
        <v/>
      </c>
      <c r="K28" s="177" t="str">
        <f>IF($B28&gt;Inputs!$G$11,"",LOOKUP($B28,'Cash Flow'!$F$2:$AJ$2,'Cash Flow'!$F$63:$AJ$63)+LOOKUP($B28,'Cash Flow'!$F$2:$AJ$2,'Cash Flow'!$F$65:$AJ$65))</f>
        <v/>
      </c>
      <c r="L28" s="177" t="str">
        <f>IF($B28&gt;Inputs!$G$11,"",LOOKUP($B28,'Cash Flow'!$F$2:$AJ$2,'Cash Flow'!$F$64:$AJ$64)+LOOKUP($B28,'Cash Flow'!$F$2:$AJ$2,'Cash Flow'!$F$66:$AJ$66))</f>
        <v/>
      </c>
      <c r="M28" s="177" t="str">
        <f>IF($B28&gt;Inputs!$G$11,"",H28+K28+L28)</f>
        <v/>
      </c>
      <c r="N28" s="177">
        <f>IF($B28&gt;Inputs!$G$11,N27,N27+M28)</f>
        <v>5081501.5826827958</v>
      </c>
      <c r="O28" s="181" t="str">
        <f>IF($B28&gt;Inputs!$G$11,"",LOOKUP($B28,'Cash Flow'!$F$2:$AJ$2,'Cash Flow'!$F$68:$AJ$68))</f>
        <v/>
      </c>
      <c r="P28" s="182" t="str">
        <f>IF($B28&gt;Inputs!$G$11,"",LOOKUP($B28,'Cash Flow'!$F$2:$AJ$2,'Cash Flow'!$F$41:$AJ$41))</f>
        <v/>
      </c>
      <c r="R28" s="391" t="str">
        <f>IF($B28&gt;Inputs!$G$11,"",D28+K28+L28)</f>
        <v/>
      </c>
      <c r="S28" s="392" t="str">
        <f>IF($B28&gt;Inputs!$G$11,"",-(E28+F28+G28))</f>
        <v/>
      </c>
    </row>
    <row r="29" spans="2:19" ht="15">
      <c r="B29" s="185">
        <v>23</v>
      </c>
      <c r="C29" s="180" t="str">
        <f>IF($B29&gt;Inputs!$G$11,"",IF($B29&lt;=Inputs!$Q$7,LOOKUP($B29,'Cash Flow'!$F$2:$AJ$2,'Cash Flow'!$F$14:$AJ$14),LOOKUP($B29,'Cash Flow'!$F$2:$AJ$2,'Cash Flow'!$F$16:$AJ$16)))</f>
        <v/>
      </c>
      <c r="D29" s="177" t="str">
        <f>IF($B29&gt;Inputs!$G$11,"",LOOKUP($B29,'Cash Flow'!$F$2:$AJ$2,'Cash Flow'!$F$23:$AJ$23))</f>
        <v/>
      </c>
      <c r="E29" s="177" t="str">
        <f>IF($B29&gt;Inputs!$G$11,"",LOOKUP($B29,'Cash Flow'!$F$2:$AJ$2,'Cash Flow'!$F$35:$AJ$35))</f>
        <v/>
      </c>
      <c r="F29" s="177" t="str">
        <f>IF($B29&gt;Inputs!$G$11,"",LOOKUP($B29,'Cash Flow'!$F$2:$AJ$2,'Cash Flow'!$F$85:$AJ$85))</f>
        <v/>
      </c>
      <c r="G29" s="177" t="str">
        <f>IF($B29&gt;Inputs!$G$11,"",LOOKUP($B29,'Cash Flow'!$F$2:$AJ$2,'Cash Flow'!$F$47:$AJ$47)+LOOKUP($B29,'Cash Flow'!$F$2:$AJ$2,'Cash Flow'!$F$48:$AJ$48))</f>
        <v/>
      </c>
      <c r="H29" s="177" t="str">
        <f>IF($B29&gt;Inputs!$G$11,"",SUM(D29:G29))</f>
        <v/>
      </c>
      <c r="I29" s="177" t="str">
        <f>IF($B29&gt;Inputs!$G$11,"",LOOKUP($B29,'Cash Flow'!$F$2:$AJ$2,'Cash Flow'!$F$60:$AJ$60))</f>
        <v/>
      </c>
      <c r="J29" s="177" t="str">
        <f>IF($B29&gt;Inputs!$G$11,"",LOOKUP($B29,'Cash Flow'!$F$2:$AJ$2,'Cash Flow'!$F$61:$AJ$61))</f>
        <v/>
      </c>
      <c r="K29" s="177" t="str">
        <f>IF($B29&gt;Inputs!$G$11,"",LOOKUP($B29,'Cash Flow'!$F$2:$AJ$2,'Cash Flow'!$F$63:$AJ$63)+LOOKUP($B29,'Cash Flow'!$F$2:$AJ$2,'Cash Flow'!$F$65:$AJ$65))</f>
        <v/>
      </c>
      <c r="L29" s="177" t="str">
        <f>IF($B29&gt;Inputs!$G$11,"",LOOKUP($B29,'Cash Flow'!$F$2:$AJ$2,'Cash Flow'!$F$64:$AJ$64)+LOOKUP($B29,'Cash Flow'!$F$2:$AJ$2,'Cash Flow'!$F$66:$AJ$66))</f>
        <v/>
      </c>
      <c r="M29" s="177" t="str">
        <f>IF($B29&gt;Inputs!$G$11,"",H29+K29+L29)</f>
        <v/>
      </c>
      <c r="N29" s="177">
        <f>IF($B29&gt;Inputs!$G$11,N28,N28+M29)</f>
        <v>5081501.5826827958</v>
      </c>
      <c r="O29" s="181" t="str">
        <f>IF($B29&gt;Inputs!$G$11,"",LOOKUP($B29,'Cash Flow'!$F$2:$AJ$2,'Cash Flow'!$F$68:$AJ$68))</f>
        <v/>
      </c>
      <c r="P29" s="182" t="str">
        <f>IF($B29&gt;Inputs!$G$11,"",LOOKUP($B29,'Cash Flow'!$F$2:$AJ$2,'Cash Flow'!$F$41:$AJ$41))</f>
        <v/>
      </c>
      <c r="R29" s="391" t="str">
        <f>IF($B29&gt;Inputs!$G$11,"",D29+K29+L29)</f>
        <v/>
      </c>
      <c r="S29" s="392" t="str">
        <f>IF($B29&gt;Inputs!$G$11,"",-(E29+F29+G29))</f>
        <v/>
      </c>
    </row>
    <row r="30" spans="2:19" ht="15">
      <c r="B30" s="179">
        <v>24</v>
      </c>
      <c r="C30" s="180" t="str">
        <f>IF($B30&gt;Inputs!$G$11,"",IF($B30&lt;=Inputs!$Q$7,LOOKUP($B30,'Cash Flow'!$F$2:$AJ$2,'Cash Flow'!$F$14:$AJ$14),LOOKUP($B30,'Cash Flow'!$F$2:$AJ$2,'Cash Flow'!$F$16:$AJ$16)))</f>
        <v/>
      </c>
      <c r="D30" s="177" t="str">
        <f>IF($B30&gt;Inputs!$G$11,"",LOOKUP($B30,'Cash Flow'!$F$2:$AJ$2,'Cash Flow'!$F$23:$AJ$23))</f>
        <v/>
      </c>
      <c r="E30" s="177" t="str">
        <f>IF($B30&gt;Inputs!$G$11,"",LOOKUP($B30,'Cash Flow'!$F$2:$AJ$2,'Cash Flow'!$F$35:$AJ$35))</f>
        <v/>
      </c>
      <c r="F30" s="177" t="str">
        <f>IF($B30&gt;Inputs!$G$11,"",LOOKUP($B30,'Cash Flow'!$F$2:$AJ$2,'Cash Flow'!$F$85:$AJ$85))</f>
        <v/>
      </c>
      <c r="G30" s="177" t="str">
        <f>IF($B30&gt;Inputs!$G$11,"",LOOKUP($B30,'Cash Flow'!$F$2:$AJ$2,'Cash Flow'!$F$47:$AJ$47)+LOOKUP($B30,'Cash Flow'!$F$2:$AJ$2,'Cash Flow'!$F$48:$AJ$48))</f>
        <v/>
      </c>
      <c r="H30" s="177" t="str">
        <f>IF($B30&gt;Inputs!$G$11,"",SUM(D30:G30))</f>
        <v/>
      </c>
      <c r="I30" s="177" t="str">
        <f>IF($B30&gt;Inputs!$G$11,"",LOOKUP($B30,'Cash Flow'!$F$2:$AJ$2,'Cash Flow'!$F$60:$AJ$60))</f>
        <v/>
      </c>
      <c r="J30" s="177" t="str">
        <f>IF($B30&gt;Inputs!$G$11,"",LOOKUP($B30,'Cash Flow'!$F$2:$AJ$2,'Cash Flow'!$F$61:$AJ$61))</f>
        <v/>
      </c>
      <c r="K30" s="177" t="str">
        <f>IF($B30&gt;Inputs!$G$11,"",LOOKUP($B30,'Cash Flow'!$F$2:$AJ$2,'Cash Flow'!$F$63:$AJ$63)+LOOKUP($B30,'Cash Flow'!$F$2:$AJ$2,'Cash Flow'!$F$65:$AJ$65))</f>
        <v/>
      </c>
      <c r="L30" s="177" t="str">
        <f>IF($B30&gt;Inputs!$G$11,"",LOOKUP($B30,'Cash Flow'!$F$2:$AJ$2,'Cash Flow'!$F$64:$AJ$64)+LOOKUP($B30,'Cash Flow'!$F$2:$AJ$2,'Cash Flow'!$F$66:$AJ$66))</f>
        <v/>
      </c>
      <c r="M30" s="177" t="str">
        <f>IF($B30&gt;Inputs!$G$11,"",H30+K30+L30)</f>
        <v/>
      </c>
      <c r="N30" s="177">
        <f>IF($B30&gt;Inputs!$G$11,N29,N29+M30)</f>
        <v>5081501.5826827958</v>
      </c>
      <c r="O30" s="181" t="str">
        <f>IF($B30&gt;Inputs!$G$11,"",LOOKUP($B30,'Cash Flow'!$F$2:$AJ$2,'Cash Flow'!$F$68:$AJ$68))</f>
        <v/>
      </c>
      <c r="P30" s="182" t="str">
        <f>IF($B30&gt;Inputs!$G$11,"",LOOKUP($B30,'Cash Flow'!$F$2:$AJ$2,'Cash Flow'!$F$41:$AJ$41))</f>
        <v/>
      </c>
      <c r="R30" s="391" t="str">
        <f>IF($B30&gt;Inputs!$G$11,"",D30+K30+L30)</f>
        <v/>
      </c>
      <c r="S30" s="392" t="str">
        <f>IF($B30&gt;Inputs!$G$11,"",-(E30+F30+G30))</f>
        <v/>
      </c>
    </row>
    <row r="31" spans="2:19" ht="15">
      <c r="B31" s="179">
        <v>25</v>
      </c>
      <c r="C31" s="180" t="str">
        <f>IF($B31&gt;Inputs!$G$11,"",IF($B31&lt;=Inputs!$Q$7,LOOKUP($B31,'Cash Flow'!$F$2:$AJ$2,'Cash Flow'!$F$14:$AJ$14),LOOKUP($B31,'Cash Flow'!$F$2:$AJ$2,'Cash Flow'!$F$16:$AJ$16)))</f>
        <v/>
      </c>
      <c r="D31" s="177" t="str">
        <f>IF($B31&gt;Inputs!$G$11,"",LOOKUP($B31,'Cash Flow'!$F$2:$AJ$2,'Cash Flow'!$F$23:$AJ$23))</f>
        <v/>
      </c>
      <c r="E31" s="177" t="str">
        <f>IF($B31&gt;Inputs!$G$11,"",LOOKUP($B31,'Cash Flow'!$F$2:$AJ$2,'Cash Flow'!$F$35:$AJ$35))</f>
        <v/>
      </c>
      <c r="F31" s="177" t="str">
        <f>IF($B31&gt;Inputs!$G$11,"",LOOKUP($B31,'Cash Flow'!$F$2:$AJ$2,'Cash Flow'!$F$85:$AJ$85))</f>
        <v/>
      </c>
      <c r="G31" s="177" t="str">
        <f>IF($B31&gt;Inputs!$G$11,"",LOOKUP($B31,'Cash Flow'!$F$2:$AJ$2,'Cash Flow'!$F$47:$AJ$47)+LOOKUP($B31,'Cash Flow'!$F$2:$AJ$2,'Cash Flow'!$F$48:$AJ$48))</f>
        <v/>
      </c>
      <c r="H31" s="177" t="str">
        <f>IF($B31&gt;Inputs!$G$11,"",SUM(D31:G31))</f>
        <v/>
      </c>
      <c r="I31" s="177" t="str">
        <f>IF($B31&gt;Inputs!$G$11,"",LOOKUP($B31,'Cash Flow'!$F$2:$AJ$2,'Cash Flow'!$F$60:$AJ$60))</f>
        <v/>
      </c>
      <c r="J31" s="177" t="str">
        <f>IF($B31&gt;Inputs!$G$11,"",LOOKUP($B31,'Cash Flow'!$F$2:$AJ$2,'Cash Flow'!$F$61:$AJ$61))</f>
        <v/>
      </c>
      <c r="K31" s="177" t="str">
        <f>IF($B31&gt;Inputs!$G$11,"",LOOKUP($B31,'Cash Flow'!$F$2:$AJ$2,'Cash Flow'!$F$63:$AJ$63)+LOOKUP($B31,'Cash Flow'!$F$2:$AJ$2,'Cash Flow'!$F$65:$AJ$65))</f>
        <v/>
      </c>
      <c r="L31" s="177" t="str">
        <f>IF($B31&gt;Inputs!$G$11,"",LOOKUP($B31,'Cash Flow'!$F$2:$AJ$2,'Cash Flow'!$F$64:$AJ$64)+LOOKUP($B31,'Cash Flow'!$F$2:$AJ$2,'Cash Flow'!$F$66:$AJ$66))</f>
        <v/>
      </c>
      <c r="M31" s="177" t="str">
        <f>IF($B31&gt;Inputs!$G$11,"",H31+K31+L31)</f>
        <v/>
      </c>
      <c r="N31" s="177">
        <f>IF($B31&gt;Inputs!$G$11,N30,N30+M31)</f>
        <v>5081501.5826827958</v>
      </c>
      <c r="O31" s="181" t="str">
        <f>IF($B31&gt;Inputs!$G$11,"",LOOKUP($B31,'Cash Flow'!$F$2:$AJ$2,'Cash Flow'!$F$68:$AJ$68))</f>
        <v/>
      </c>
      <c r="P31" s="182" t="str">
        <f>IF($B31&gt;Inputs!$G$11,"",LOOKUP($B31,'Cash Flow'!$F$2:$AJ$2,'Cash Flow'!$F$41:$AJ$41))</f>
        <v/>
      </c>
      <c r="R31" s="391" t="str">
        <f>IF($B31&gt;Inputs!$G$11,"",D31+K31+L31)</f>
        <v/>
      </c>
      <c r="S31" s="392" t="str">
        <f>IF($B31&gt;Inputs!$G$11,"",-(E31+F31+G31))</f>
        <v/>
      </c>
    </row>
    <row r="32" spans="2:19" ht="15">
      <c r="B32" s="185">
        <v>26</v>
      </c>
      <c r="C32" s="180" t="str">
        <f>IF($B32&gt;Inputs!$G$11,"",IF($B32&lt;=Inputs!$Q$7,LOOKUP($B32,'Cash Flow'!$F$2:$AJ$2,'Cash Flow'!$F$14:$AJ$14),LOOKUP($B32,'Cash Flow'!$F$2:$AJ$2,'Cash Flow'!$F$16:$AJ$16)))</f>
        <v/>
      </c>
      <c r="D32" s="177" t="str">
        <f>IF($B32&gt;Inputs!$G$11,"",LOOKUP($B32,'Cash Flow'!$F$2:$AJ$2,'Cash Flow'!$F$23:$AJ$23))</f>
        <v/>
      </c>
      <c r="E32" s="177" t="str">
        <f>IF($B32&gt;Inputs!$G$11,"",LOOKUP($B32,'Cash Flow'!$F$2:$AJ$2,'Cash Flow'!$F$35:$AJ$35))</f>
        <v/>
      </c>
      <c r="F32" s="177" t="str">
        <f>IF($B32&gt;Inputs!$G$11,"",LOOKUP($B32,'Cash Flow'!$F$2:$AJ$2,'Cash Flow'!$F$85:$AJ$85))</f>
        <v/>
      </c>
      <c r="G32" s="177" t="str">
        <f>IF($B32&gt;Inputs!$G$11,"",LOOKUP($B32,'Cash Flow'!$F$2:$AJ$2,'Cash Flow'!$F$47:$AJ$47)+LOOKUP($B32,'Cash Flow'!$F$2:$AJ$2,'Cash Flow'!$F$48:$AJ$48))</f>
        <v/>
      </c>
      <c r="H32" s="177" t="str">
        <f>IF($B32&gt;Inputs!$G$11,"",SUM(D32:G32))</f>
        <v/>
      </c>
      <c r="I32" s="177" t="str">
        <f>IF($B32&gt;Inputs!$G$11,"",LOOKUP($B32,'Cash Flow'!$F$2:$AJ$2,'Cash Flow'!$F$60:$AJ$60))</f>
        <v/>
      </c>
      <c r="J32" s="177" t="str">
        <f>IF($B32&gt;Inputs!$G$11,"",LOOKUP($B32,'Cash Flow'!$F$2:$AJ$2,'Cash Flow'!$F$61:$AJ$61))</f>
        <v/>
      </c>
      <c r="K32" s="177" t="str">
        <f>IF($B32&gt;Inputs!$G$11,"",LOOKUP($B32,'Cash Flow'!$F$2:$AJ$2,'Cash Flow'!$F$63:$AJ$63)+LOOKUP($B32,'Cash Flow'!$F$2:$AJ$2,'Cash Flow'!$F$65:$AJ$65))</f>
        <v/>
      </c>
      <c r="L32" s="177" t="str">
        <f>IF($B32&gt;Inputs!$G$11,"",LOOKUP($B32,'Cash Flow'!$F$2:$AJ$2,'Cash Flow'!$F$64:$AJ$64)+LOOKUP($B32,'Cash Flow'!$F$2:$AJ$2,'Cash Flow'!$F$66:$AJ$66))</f>
        <v/>
      </c>
      <c r="M32" s="177" t="str">
        <f>IF($B32&gt;Inputs!$G$11,"",H32+K32+L32)</f>
        <v/>
      </c>
      <c r="N32" s="177">
        <f>IF($B32&gt;Inputs!$G$11,N31,N31+M32)</f>
        <v>5081501.5826827958</v>
      </c>
      <c r="O32" s="181" t="str">
        <f>IF($B32&gt;Inputs!$G$11,"",LOOKUP($B32,'Cash Flow'!$F$2:$AJ$2,'Cash Flow'!$F$68:$AJ$68))</f>
        <v/>
      </c>
      <c r="P32" s="182" t="str">
        <f>IF($B32&gt;Inputs!$G$11,"",LOOKUP($B32,'Cash Flow'!$F$2:$AJ$2,'Cash Flow'!$F$41:$AJ$41))</f>
        <v/>
      </c>
      <c r="R32" s="391" t="str">
        <f>IF($B32&gt;Inputs!$G$11,"",D32+K32+L32)</f>
        <v/>
      </c>
      <c r="S32" s="392" t="str">
        <f>IF($B32&gt;Inputs!$G$11,"",-(E32+F32+G32))</f>
        <v/>
      </c>
    </row>
    <row r="33" spans="2:19" ht="15">
      <c r="B33" s="179">
        <v>27</v>
      </c>
      <c r="C33" s="180" t="str">
        <f>IF($B33&gt;Inputs!$G$11,"",IF($B33&lt;=Inputs!$Q$7,LOOKUP($B33,'Cash Flow'!$F$2:$AJ$2,'Cash Flow'!$F$14:$AJ$14),LOOKUP($B33,'Cash Flow'!$F$2:$AJ$2,'Cash Flow'!$F$16:$AJ$16)))</f>
        <v/>
      </c>
      <c r="D33" s="177" t="str">
        <f>IF($B33&gt;Inputs!$G$11,"",LOOKUP($B33,'Cash Flow'!$F$2:$AJ$2,'Cash Flow'!$F$23:$AJ$23))</f>
        <v/>
      </c>
      <c r="E33" s="177" t="str">
        <f>IF($B33&gt;Inputs!$G$11,"",LOOKUP($B33,'Cash Flow'!$F$2:$AJ$2,'Cash Flow'!$F$35:$AJ$35))</f>
        <v/>
      </c>
      <c r="F33" s="177" t="str">
        <f>IF($B33&gt;Inputs!$G$11,"",LOOKUP($B33,'Cash Flow'!$F$2:$AJ$2,'Cash Flow'!$F$85:$AJ$85))</f>
        <v/>
      </c>
      <c r="G33" s="177" t="str">
        <f>IF($B33&gt;Inputs!$G$11,"",LOOKUP($B33,'Cash Flow'!$F$2:$AJ$2,'Cash Flow'!$F$47:$AJ$47)+LOOKUP($B33,'Cash Flow'!$F$2:$AJ$2,'Cash Flow'!$F$48:$AJ$48))</f>
        <v/>
      </c>
      <c r="H33" s="177" t="str">
        <f>IF($B33&gt;Inputs!$G$11,"",SUM(D33:G33))</f>
        <v/>
      </c>
      <c r="I33" s="177" t="str">
        <f>IF($B33&gt;Inputs!$G$11,"",LOOKUP($B33,'Cash Flow'!$F$2:$AJ$2,'Cash Flow'!$F$60:$AJ$60))</f>
        <v/>
      </c>
      <c r="J33" s="177" t="str">
        <f>IF($B33&gt;Inputs!$G$11,"",LOOKUP($B33,'Cash Flow'!$F$2:$AJ$2,'Cash Flow'!$F$61:$AJ$61))</f>
        <v/>
      </c>
      <c r="K33" s="177" t="str">
        <f>IF($B33&gt;Inputs!$G$11,"",LOOKUP($B33,'Cash Flow'!$F$2:$AJ$2,'Cash Flow'!$F$63:$AJ$63)+LOOKUP($B33,'Cash Flow'!$F$2:$AJ$2,'Cash Flow'!$F$65:$AJ$65))</f>
        <v/>
      </c>
      <c r="L33" s="177" t="str">
        <f>IF($B33&gt;Inputs!$G$11,"",LOOKUP($B33,'Cash Flow'!$F$2:$AJ$2,'Cash Flow'!$F$64:$AJ$64)+LOOKUP($B33,'Cash Flow'!$F$2:$AJ$2,'Cash Flow'!$F$66:$AJ$66))</f>
        <v/>
      </c>
      <c r="M33" s="177" t="str">
        <f>IF($B33&gt;Inputs!$G$11,"",H33+K33+L33)</f>
        <v/>
      </c>
      <c r="N33" s="177">
        <f>IF($B33&gt;Inputs!$G$11,N32,N32+M33)</f>
        <v>5081501.5826827958</v>
      </c>
      <c r="O33" s="181" t="str">
        <f>IF($B33&gt;Inputs!$G$11,"",LOOKUP($B33,'Cash Flow'!$F$2:$AJ$2,'Cash Flow'!$F$68:$AJ$68))</f>
        <v/>
      </c>
      <c r="P33" s="182" t="str">
        <f>IF($B33&gt;Inputs!$G$11,"",LOOKUP($B33,'Cash Flow'!$F$2:$AJ$2,'Cash Flow'!$F$41:$AJ$41))</f>
        <v/>
      </c>
      <c r="R33" s="391" t="str">
        <f>IF($B33&gt;Inputs!$G$11,"",D33+K33+L33)</f>
        <v/>
      </c>
      <c r="S33" s="392" t="str">
        <f>IF($B33&gt;Inputs!$G$11,"",-(E33+F33+G33))</f>
        <v/>
      </c>
    </row>
    <row r="34" spans="2:19" ht="15">
      <c r="B34" s="179">
        <v>28</v>
      </c>
      <c r="C34" s="180" t="str">
        <f>IF($B34&gt;Inputs!$G$11,"",IF($B34&lt;=Inputs!$Q$7,LOOKUP($B34,'Cash Flow'!$F$2:$AJ$2,'Cash Flow'!$F$14:$AJ$14),LOOKUP($B34,'Cash Flow'!$F$2:$AJ$2,'Cash Flow'!$F$16:$AJ$16)))</f>
        <v/>
      </c>
      <c r="D34" s="177" t="str">
        <f>IF($B34&gt;Inputs!$G$11,"",LOOKUP($B34,'Cash Flow'!$F$2:$AJ$2,'Cash Flow'!$F$23:$AJ$23))</f>
        <v/>
      </c>
      <c r="E34" s="177" t="str">
        <f>IF($B34&gt;Inputs!$G$11,"",LOOKUP($B34,'Cash Flow'!$F$2:$AJ$2,'Cash Flow'!$F$35:$AJ$35))</f>
        <v/>
      </c>
      <c r="F34" s="177" t="str">
        <f>IF($B34&gt;Inputs!$G$11,"",LOOKUP($B34,'Cash Flow'!$F$2:$AJ$2,'Cash Flow'!$F$85:$AJ$85))</f>
        <v/>
      </c>
      <c r="G34" s="177" t="str">
        <f>IF($B34&gt;Inputs!$G$11,"",LOOKUP($B34,'Cash Flow'!$F$2:$AJ$2,'Cash Flow'!$F$47:$AJ$47)+LOOKUP($B34,'Cash Flow'!$F$2:$AJ$2,'Cash Flow'!$F$48:$AJ$48))</f>
        <v/>
      </c>
      <c r="H34" s="177" t="str">
        <f>IF($B34&gt;Inputs!$G$11,"",SUM(D34:G34))</f>
        <v/>
      </c>
      <c r="I34" s="177" t="str">
        <f>IF($B34&gt;Inputs!$G$11,"",LOOKUP($B34,'Cash Flow'!$F$2:$AJ$2,'Cash Flow'!$F$60:$AJ$60))</f>
        <v/>
      </c>
      <c r="J34" s="177" t="str">
        <f>IF($B34&gt;Inputs!$G$11,"",LOOKUP($B34,'Cash Flow'!$F$2:$AJ$2,'Cash Flow'!$F$61:$AJ$61))</f>
        <v/>
      </c>
      <c r="K34" s="177" t="str">
        <f>IF($B34&gt;Inputs!$G$11,"",LOOKUP($B34,'Cash Flow'!$F$2:$AJ$2,'Cash Flow'!$F$63:$AJ$63)+LOOKUP($B34,'Cash Flow'!$F$2:$AJ$2,'Cash Flow'!$F$65:$AJ$65))</f>
        <v/>
      </c>
      <c r="L34" s="177" t="str">
        <f>IF($B34&gt;Inputs!$G$11,"",LOOKUP($B34,'Cash Flow'!$F$2:$AJ$2,'Cash Flow'!$F$64:$AJ$64)+LOOKUP($B34,'Cash Flow'!$F$2:$AJ$2,'Cash Flow'!$F$66:$AJ$66))</f>
        <v/>
      </c>
      <c r="M34" s="177" t="str">
        <f>IF($B34&gt;Inputs!$G$11,"",H34+K34+L34)</f>
        <v/>
      </c>
      <c r="N34" s="177">
        <f>IF($B34&gt;Inputs!$G$11,N33,N33+M34)</f>
        <v>5081501.5826827958</v>
      </c>
      <c r="O34" s="181" t="str">
        <f>IF($B34&gt;Inputs!$G$11,"",LOOKUP($B34,'Cash Flow'!$F$2:$AJ$2,'Cash Flow'!$F$68:$AJ$68))</f>
        <v/>
      </c>
      <c r="P34" s="182" t="str">
        <f>IF($B34&gt;Inputs!$G$11,"",LOOKUP($B34,'Cash Flow'!$F$2:$AJ$2,'Cash Flow'!$F$41:$AJ$41))</f>
        <v/>
      </c>
      <c r="R34" s="391" t="str">
        <f>IF($B34&gt;Inputs!$G$11,"",D34+K34+L34)</f>
        <v/>
      </c>
      <c r="S34" s="392" t="str">
        <f>IF($B34&gt;Inputs!$G$11,"",-(E34+F34+G34))</f>
        <v/>
      </c>
    </row>
    <row r="35" spans="2:19" ht="15">
      <c r="B35" s="185">
        <v>29</v>
      </c>
      <c r="C35" s="180" t="str">
        <f>IF($B35&gt;Inputs!$G$11,"",IF($B35&lt;=Inputs!$Q$7,LOOKUP($B35,'Cash Flow'!$F$2:$AJ$2,'Cash Flow'!$F$14:$AJ$14),LOOKUP($B35,'Cash Flow'!$F$2:$AJ$2,'Cash Flow'!$F$16:$AJ$16)))</f>
        <v/>
      </c>
      <c r="D35" s="177" t="str">
        <f>IF($B35&gt;Inputs!$G$11,"",LOOKUP($B35,'Cash Flow'!$F$2:$AJ$2,'Cash Flow'!$F$23:$AJ$23))</f>
        <v/>
      </c>
      <c r="E35" s="177" t="str">
        <f>IF($B35&gt;Inputs!$G$11,"",LOOKUP($B35,'Cash Flow'!$F$2:$AJ$2,'Cash Flow'!$F$35:$AJ$35))</f>
        <v/>
      </c>
      <c r="F35" s="177" t="str">
        <f>IF($B35&gt;Inputs!$G$11,"",LOOKUP($B35,'Cash Flow'!$F$2:$AJ$2,'Cash Flow'!$F$85:$AJ$85))</f>
        <v/>
      </c>
      <c r="G35" s="177" t="str">
        <f>IF($B35&gt;Inputs!$G$11,"",LOOKUP($B35,'Cash Flow'!$F$2:$AJ$2,'Cash Flow'!$F$47:$AJ$47)+LOOKUP($B35,'Cash Flow'!$F$2:$AJ$2,'Cash Flow'!$F$48:$AJ$48))</f>
        <v/>
      </c>
      <c r="H35" s="177" t="str">
        <f>IF($B35&gt;Inputs!$G$11,"",SUM(D35:G35))</f>
        <v/>
      </c>
      <c r="I35" s="177" t="str">
        <f>IF($B35&gt;Inputs!$G$11,"",LOOKUP($B35,'Cash Flow'!$F$2:$AJ$2,'Cash Flow'!$F$60:$AJ$60))</f>
        <v/>
      </c>
      <c r="J35" s="177" t="str">
        <f>IF($B35&gt;Inputs!$G$11,"",LOOKUP($B35,'Cash Flow'!$F$2:$AJ$2,'Cash Flow'!$F$61:$AJ$61))</f>
        <v/>
      </c>
      <c r="K35" s="177" t="str">
        <f>IF($B35&gt;Inputs!$G$11,"",LOOKUP($B35,'Cash Flow'!$F$2:$AJ$2,'Cash Flow'!$F$63:$AJ$63)+LOOKUP($B35,'Cash Flow'!$F$2:$AJ$2,'Cash Flow'!$F$65:$AJ$65))</f>
        <v/>
      </c>
      <c r="L35" s="177" t="str">
        <f>IF($B35&gt;Inputs!$G$11,"",LOOKUP($B35,'Cash Flow'!$F$2:$AJ$2,'Cash Flow'!$F$64:$AJ$64)+LOOKUP($B35,'Cash Flow'!$F$2:$AJ$2,'Cash Flow'!$F$66:$AJ$66))</f>
        <v/>
      </c>
      <c r="M35" s="177" t="str">
        <f>IF($B35&gt;Inputs!$G$11,"",H35+K35+L35)</f>
        <v/>
      </c>
      <c r="N35" s="177">
        <f>IF($B35&gt;Inputs!$G$11,N34,N34+M35)</f>
        <v>5081501.5826827958</v>
      </c>
      <c r="O35" s="181" t="str">
        <f>IF($B35&gt;Inputs!$G$11,"",LOOKUP($B35,'Cash Flow'!$F$2:$AJ$2,'Cash Flow'!$F$68:$AJ$68))</f>
        <v/>
      </c>
      <c r="P35" s="182" t="str">
        <f>IF($B35&gt;Inputs!$G$11,"",LOOKUP($B35,'Cash Flow'!$F$2:$AJ$2,'Cash Flow'!$F$41:$AJ$41))</f>
        <v/>
      </c>
      <c r="R35" s="391" t="str">
        <f>IF($B35&gt;Inputs!$G$11,"",D35+K35+L35)</f>
        <v/>
      </c>
      <c r="S35" s="392" t="str">
        <f>IF($B35&gt;Inputs!$G$11,"",-(E35+F35+G35))</f>
        <v/>
      </c>
    </row>
    <row r="36" spans="2:19" ht="15">
      <c r="B36" s="179">
        <v>30</v>
      </c>
      <c r="C36" s="180" t="str">
        <f>IF($B36&gt;Inputs!$G$11,"",IF($B36&lt;=Inputs!$Q$7,LOOKUP($B36,'Cash Flow'!$F$2:$AJ$2,'Cash Flow'!$F$14:$AJ$14),LOOKUP($B36,'Cash Flow'!$F$2:$AJ$2,'Cash Flow'!$F$16:$AJ$16)))</f>
        <v/>
      </c>
      <c r="D36" s="177" t="str">
        <f>IF($B36&gt;Inputs!$G$11,"",LOOKUP($B36,'Cash Flow'!$F$2:$AJ$2,'Cash Flow'!$F$23:$AJ$23))</f>
        <v/>
      </c>
      <c r="E36" s="177" t="str">
        <f>IF($B36&gt;Inputs!$G$11,"",LOOKUP($B36,'Cash Flow'!$F$2:$AJ$2,'Cash Flow'!$F$35:$AJ$35))</f>
        <v/>
      </c>
      <c r="F36" s="177" t="str">
        <f>IF($B36&gt;Inputs!$G$11,"",LOOKUP($B36,'Cash Flow'!$F$2:$AJ$2,'Cash Flow'!$F$85:$AJ$85))</f>
        <v/>
      </c>
      <c r="G36" s="177" t="str">
        <f>IF($B36&gt;Inputs!$G$11,"",LOOKUP($B36,'Cash Flow'!$F$2:$AJ$2,'Cash Flow'!$F$47:$AJ$47)+LOOKUP($B36,'Cash Flow'!$F$2:$AJ$2,'Cash Flow'!$F$48:$AJ$48))</f>
        <v/>
      </c>
      <c r="H36" s="177" t="str">
        <f>IF($B36&gt;Inputs!$G$11,"",SUM(D36:G36))</f>
        <v/>
      </c>
      <c r="I36" s="177" t="str">
        <f>IF($B36&gt;Inputs!$G$11,"",LOOKUP($B36,'Cash Flow'!$F$2:$AJ$2,'Cash Flow'!$F$60:$AJ$60))</f>
        <v/>
      </c>
      <c r="J36" s="177" t="str">
        <f>IF($B36&gt;Inputs!$G$11,"",LOOKUP($B36,'Cash Flow'!$F$2:$AJ$2,'Cash Flow'!$F$61:$AJ$61))</f>
        <v/>
      </c>
      <c r="K36" s="177" t="str">
        <f>IF($B36&gt;Inputs!$G$11,"",LOOKUP($B36,'Cash Flow'!$F$2:$AJ$2,'Cash Flow'!$F$63:$AJ$63)+LOOKUP($B36,'Cash Flow'!$F$2:$AJ$2,'Cash Flow'!$F$65:$AJ$65))</f>
        <v/>
      </c>
      <c r="L36" s="177" t="str">
        <f>IF($B36&gt;Inputs!$G$11,"",LOOKUP($B36,'Cash Flow'!$F$2:$AJ$2,'Cash Flow'!$F$64:$AJ$64)+LOOKUP($B36,'Cash Flow'!$F$2:$AJ$2,'Cash Flow'!$F$66:$AJ$66))</f>
        <v/>
      </c>
      <c r="M36" s="177" t="str">
        <f>IF($B36&gt;Inputs!$G$11,"",H36+K36+L36)</f>
        <v/>
      </c>
      <c r="N36" s="177">
        <f>IF($B36&gt;Inputs!$G$11,N35,N35+M36)</f>
        <v>5081501.5826827958</v>
      </c>
      <c r="O36" s="181" t="str">
        <f>IF($B36&gt;Inputs!$G$11,"",LOOKUP($B36,'Cash Flow'!$F$2:$AJ$2,'Cash Flow'!$F$68:$AJ$68))</f>
        <v/>
      </c>
      <c r="P36" s="182" t="str">
        <f>IF($B36&gt;Inputs!$G$11,"",LOOKUP($B36,'Cash Flow'!$F$2:$AJ$2,'Cash Flow'!$F$41:$AJ$41))</f>
        <v/>
      </c>
      <c r="R36" s="391" t="str">
        <f>IF($B36&gt;Inputs!$G$11,"",D36+K36+L36)</f>
        <v/>
      </c>
      <c r="S36" s="392" t="str">
        <f>IF($B36&gt;Inputs!$G$11,"",-(E36+F36+G36))</f>
        <v/>
      </c>
    </row>
    <row r="37" spans="2:19">
      <c r="B37" s="186"/>
      <c r="C37" s="187"/>
      <c r="D37" s="187"/>
      <c r="E37" s="187"/>
      <c r="F37" s="187"/>
      <c r="G37" s="198"/>
      <c r="H37" s="187"/>
      <c r="I37" s="187"/>
      <c r="J37" s="187"/>
      <c r="K37" s="187"/>
      <c r="L37" s="187"/>
      <c r="M37" s="198"/>
      <c r="N37" s="198"/>
      <c r="O37" s="198"/>
      <c r="P37" s="199"/>
      <c r="R37" s="393"/>
      <c r="S37" s="394"/>
    </row>
    <row r="38" spans="2:19">
      <c r="G38" s="200"/>
      <c r="M38" s="200"/>
      <c r="N38" s="200"/>
      <c r="O38" s="200"/>
      <c r="P38" s="200"/>
    </row>
  </sheetData>
  <mergeCells count="3">
    <mergeCell ref="R4:R5"/>
    <mergeCell ref="S4:S5"/>
    <mergeCell ref="R3:S3"/>
  </mergeCells>
  <conditionalFormatting sqref="N7:N36">
    <cfRule type="expression" dxfId="3" priority="1">
      <formula>$N7=$N6</formula>
    </cfRule>
  </conditionalFormatting>
  <pageMargins left="0.7" right="0.7" top="0.75" bottom="0.75" header="0.3" footer="0.3"/>
  <pageSetup orientation="portrait" horizontalDpi="4294967293" verticalDpi="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J237"/>
  <sheetViews>
    <sheetView showGridLines="0" zoomScale="70" zoomScaleNormal="70" workbookViewId="0">
      <pane xSplit="5" ySplit="2" topLeftCell="F3" activePane="bottomRight" state="frozen"/>
      <selection pane="topRight" activeCell="D1" sqref="D1"/>
      <selection pane="bottomLeft" activeCell="A4" sqref="A4"/>
      <selection pane="bottomRight" activeCell="F8" sqref="F8"/>
    </sheetView>
  </sheetViews>
  <sheetFormatPr baseColWidth="10" defaultColWidth="8.83203125" defaultRowHeight="15"/>
  <cols>
    <col min="1" max="1" width="5.5" style="66" customWidth="1"/>
    <col min="2" max="2" width="56.5" style="66" customWidth="1"/>
    <col min="3" max="5" width="15.33203125" style="66" customWidth="1"/>
    <col min="6" max="6" width="15.83203125" style="66" customWidth="1"/>
    <col min="7" max="7" width="15.6640625" style="66" bestFit="1" customWidth="1"/>
    <col min="8" max="13" width="14.83203125" style="66" bestFit="1" customWidth="1"/>
    <col min="14" max="36" width="13.6640625" style="66" customWidth="1"/>
    <col min="37" max="228" width="9.1640625" style="66"/>
    <col min="229" max="229" width="5.5" style="66" customWidth="1"/>
    <col min="230" max="230" width="56.5" style="66" customWidth="1"/>
    <col min="231" max="231" width="15.33203125" style="66" customWidth="1"/>
    <col min="232" max="232" width="15.83203125" style="66" customWidth="1"/>
    <col min="233" max="233" width="15.1640625" style="66" customWidth="1"/>
    <col min="234" max="292" width="13.6640625" style="66" customWidth="1"/>
    <col min="293" max="484" width="9.1640625" style="66"/>
    <col min="485" max="485" width="5.5" style="66" customWidth="1"/>
    <col min="486" max="486" width="56.5" style="66" customWidth="1"/>
    <col min="487" max="487" width="15.33203125" style="66" customWidth="1"/>
    <col min="488" max="488" width="15.83203125" style="66" customWidth="1"/>
    <col min="489" max="489" width="15.1640625" style="66" customWidth="1"/>
    <col min="490" max="548" width="13.6640625" style="66" customWidth="1"/>
    <col min="549" max="740" width="9.1640625" style="66"/>
    <col min="741" max="741" width="5.5" style="66" customWidth="1"/>
    <col min="742" max="742" width="56.5" style="66" customWidth="1"/>
    <col min="743" max="743" width="15.33203125" style="66" customWidth="1"/>
    <col min="744" max="744" width="15.83203125" style="66" customWidth="1"/>
    <col min="745" max="745" width="15.1640625" style="66" customWidth="1"/>
    <col min="746" max="804" width="13.6640625" style="66" customWidth="1"/>
    <col min="805" max="996" width="9.1640625" style="66"/>
    <col min="997" max="997" width="5.5" style="66" customWidth="1"/>
    <col min="998" max="998" width="56.5" style="66" customWidth="1"/>
    <col min="999" max="999" width="15.33203125" style="66" customWidth="1"/>
    <col min="1000" max="1000" width="15.83203125" style="66" customWidth="1"/>
    <col min="1001" max="1001" width="15.1640625" style="66" customWidth="1"/>
    <col min="1002" max="1060" width="13.6640625" style="66" customWidth="1"/>
    <col min="1061" max="1252" width="9.1640625" style="66"/>
    <col min="1253" max="1253" width="5.5" style="66" customWidth="1"/>
    <col min="1254" max="1254" width="56.5" style="66" customWidth="1"/>
    <col min="1255" max="1255" width="15.33203125" style="66" customWidth="1"/>
    <col min="1256" max="1256" width="15.83203125" style="66" customWidth="1"/>
    <col min="1257" max="1257" width="15.1640625" style="66" customWidth="1"/>
    <col min="1258" max="1316" width="13.6640625" style="66" customWidth="1"/>
    <col min="1317" max="1508" width="9.1640625" style="66"/>
    <col min="1509" max="1509" width="5.5" style="66" customWidth="1"/>
    <col min="1510" max="1510" width="56.5" style="66" customWidth="1"/>
    <col min="1511" max="1511" width="15.33203125" style="66" customWidth="1"/>
    <col min="1512" max="1512" width="15.83203125" style="66" customWidth="1"/>
    <col min="1513" max="1513" width="15.1640625" style="66" customWidth="1"/>
    <col min="1514" max="1572" width="13.6640625" style="66" customWidth="1"/>
    <col min="1573" max="1764" width="9.1640625" style="66"/>
    <col min="1765" max="1765" width="5.5" style="66" customWidth="1"/>
    <col min="1766" max="1766" width="56.5" style="66" customWidth="1"/>
    <col min="1767" max="1767" width="15.33203125" style="66" customWidth="1"/>
    <col min="1768" max="1768" width="15.83203125" style="66" customWidth="1"/>
    <col min="1769" max="1769" width="15.1640625" style="66" customWidth="1"/>
    <col min="1770" max="1828" width="13.6640625" style="66" customWidth="1"/>
    <col min="1829" max="2020" width="9.1640625" style="66"/>
    <col min="2021" max="2021" width="5.5" style="66" customWidth="1"/>
    <col min="2022" max="2022" width="56.5" style="66" customWidth="1"/>
    <col min="2023" max="2023" width="15.33203125" style="66" customWidth="1"/>
    <col min="2024" max="2024" width="15.83203125" style="66" customWidth="1"/>
    <col min="2025" max="2025" width="15.1640625" style="66" customWidth="1"/>
    <col min="2026" max="2084" width="13.6640625" style="66" customWidth="1"/>
    <col min="2085" max="2276" width="9.1640625" style="66"/>
    <col min="2277" max="2277" width="5.5" style="66" customWidth="1"/>
    <col min="2278" max="2278" width="56.5" style="66" customWidth="1"/>
    <col min="2279" max="2279" width="15.33203125" style="66" customWidth="1"/>
    <col min="2280" max="2280" width="15.83203125" style="66" customWidth="1"/>
    <col min="2281" max="2281" width="15.1640625" style="66" customWidth="1"/>
    <col min="2282" max="2340" width="13.6640625" style="66" customWidth="1"/>
    <col min="2341" max="2532" width="9.1640625" style="66"/>
    <col min="2533" max="2533" width="5.5" style="66" customWidth="1"/>
    <col min="2534" max="2534" width="56.5" style="66" customWidth="1"/>
    <col min="2535" max="2535" width="15.33203125" style="66" customWidth="1"/>
    <col min="2536" max="2536" width="15.83203125" style="66" customWidth="1"/>
    <col min="2537" max="2537" width="15.1640625" style="66" customWidth="1"/>
    <col min="2538" max="2596" width="13.6640625" style="66" customWidth="1"/>
    <col min="2597" max="2788" width="9.1640625" style="66"/>
    <col min="2789" max="2789" width="5.5" style="66" customWidth="1"/>
    <col min="2790" max="2790" width="56.5" style="66" customWidth="1"/>
    <col min="2791" max="2791" width="15.33203125" style="66" customWidth="1"/>
    <col min="2792" max="2792" width="15.83203125" style="66" customWidth="1"/>
    <col min="2793" max="2793" width="15.1640625" style="66" customWidth="1"/>
    <col min="2794" max="2852" width="13.6640625" style="66" customWidth="1"/>
    <col min="2853" max="3044" width="9.1640625" style="66"/>
    <col min="3045" max="3045" width="5.5" style="66" customWidth="1"/>
    <col min="3046" max="3046" width="56.5" style="66" customWidth="1"/>
    <col min="3047" max="3047" width="15.33203125" style="66" customWidth="1"/>
    <col min="3048" max="3048" width="15.83203125" style="66" customWidth="1"/>
    <col min="3049" max="3049" width="15.1640625" style="66" customWidth="1"/>
    <col min="3050" max="3108" width="13.6640625" style="66" customWidth="1"/>
    <col min="3109" max="3300" width="9.1640625" style="66"/>
    <col min="3301" max="3301" width="5.5" style="66" customWidth="1"/>
    <col min="3302" max="3302" width="56.5" style="66" customWidth="1"/>
    <col min="3303" max="3303" width="15.33203125" style="66" customWidth="1"/>
    <col min="3304" max="3304" width="15.83203125" style="66" customWidth="1"/>
    <col min="3305" max="3305" width="15.1640625" style="66" customWidth="1"/>
    <col min="3306" max="3364" width="13.6640625" style="66" customWidth="1"/>
    <col min="3365" max="3556" width="9.1640625" style="66"/>
    <col min="3557" max="3557" width="5.5" style="66" customWidth="1"/>
    <col min="3558" max="3558" width="56.5" style="66" customWidth="1"/>
    <col min="3559" max="3559" width="15.33203125" style="66" customWidth="1"/>
    <col min="3560" max="3560" width="15.83203125" style="66" customWidth="1"/>
    <col min="3561" max="3561" width="15.1640625" style="66" customWidth="1"/>
    <col min="3562" max="3620" width="13.6640625" style="66" customWidth="1"/>
    <col min="3621" max="3812" width="9.1640625" style="66"/>
    <col min="3813" max="3813" width="5.5" style="66" customWidth="1"/>
    <col min="3814" max="3814" width="56.5" style="66" customWidth="1"/>
    <col min="3815" max="3815" width="15.33203125" style="66" customWidth="1"/>
    <col min="3816" max="3816" width="15.83203125" style="66" customWidth="1"/>
    <col min="3817" max="3817" width="15.1640625" style="66" customWidth="1"/>
    <col min="3818" max="3876" width="13.6640625" style="66" customWidth="1"/>
    <col min="3877" max="4068" width="9.1640625" style="66"/>
    <col min="4069" max="4069" width="5.5" style="66" customWidth="1"/>
    <col min="4070" max="4070" width="56.5" style="66" customWidth="1"/>
    <col min="4071" max="4071" width="15.33203125" style="66" customWidth="1"/>
    <col min="4072" max="4072" width="15.83203125" style="66" customWidth="1"/>
    <col min="4073" max="4073" width="15.1640625" style="66" customWidth="1"/>
    <col min="4074" max="4132" width="13.6640625" style="66" customWidth="1"/>
    <col min="4133" max="4324" width="9.1640625" style="66"/>
    <col min="4325" max="4325" width="5.5" style="66" customWidth="1"/>
    <col min="4326" max="4326" width="56.5" style="66" customWidth="1"/>
    <col min="4327" max="4327" width="15.33203125" style="66" customWidth="1"/>
    <col min="4328" max="4328" width="15.83203125" style="66" customWidth="1"/>
    <col min="4329" max="4329" width="15.1640625" style="66" customWidth="1"/>
    <col min="4330" max="4388" width="13.6640625" style="66" customWidth="1"/>
    <col min="4389" max="4580" width="9.1640625" style="66"/>
    <col min="4581" max="4581" width="5.5" style="66" customWidth="1"/>
    <col min="4582" max="4582" width="56.5" style="66" customWidth="1"/>
    <col min="4583" max="4583" width="15.33203125" style="66" customWidth="1"/>
    <col min="4584" max="4584" width="15.83203125" style="66" customWidth="1"/>
    <col min="4585" max="4585" width="15.1640625" style="66" customWidth="1"/>
    <col min="4586" max="4644" width="13.6640625" style="66" customWidth="1"/>
    <col min="4645" max="4836" width="9.1640625" style="66"/>
    <col min="4837" max="4837" width="5.5" style="66" customWidth="1"/>
    <col min="4838" max="4838" width="56.5" style="66" customWidth="1"/>
    <col min="4839" max="4839" width="15.33203125" style="66" customWidth="1"/>
    <col min="4840" max="4840" width="15.83203125" style="66" customWidth="1"/>
    <col min="4841" max="4841" width="15.1640625" style="66" customWidth="1"/>
    <col min="4842" max="4900" width="13.6640625" style="66" customWidth="1"/>
    <col min="4901" max="5092" width="9.1640625" style="66"/>
    <col min="5093" max="5093" width="5.5" style="66" customWidth="1"/>
    <col min="5094" max="5094" width="56.5" style="66" customWidth="1"/>
    <col min="5095" max="5095" width="15.33203125" style="66" customWidth="1"/>
    <col min="5096" max="5096" width="15.83203125" style="66" customWidth="1"/>
    <col min="5097" max="5097" width="15.1640625" style="66" customWidth="1"/>
    <col min="5098" max="5156" width="13.6640625" style="66" customWidth="1"/>
    <col min="5157" max="5348" width="9.1640625" style="66"/>
    <col min="5349" max="5349" width="5.5" style="66" customWidth="1"/>
    <col min="5350" max="5350" width="56.5" style="66" customWidth="1"/>
    <col min="5351" max="5351" width="15.33203125" style="66" customWidth="1"/>
    <col min="5352" max="5352" width="15.83203125" style="66" customWidth="1"/>
    <col min="5353" max="5353" width="15.1640625" style="66" customWidth="1"/>
    <col min="5354" max="5412" width="13.6640625" style="66" customWidth="1"/>
    <col min="5413" max="5604" width="9.1640625" style="66"/>
    <col min="5605" max="5605" width="5.5" style="66" customWidth="1"/>
    <col min="5606" max="5606" width="56.5" style="66" customWidth="1"/>
    <col min="5607" max="5607" width="15.33203125" style="66" customWidth="1"/>
    <col min="5608" max="5608" width="15.83203125" style="66" customWidth="1"/>
    <col min="5609" max="5609" width="15.1640625" style="66" customWidth="1"/>
    <col min="5610" max="5668" width="13.6640625" style="66" customWidth="1"/>
    <col min="5669" max="5860" width="9.1640625" style="66"/>
    <col min="5861" max="5861" width="5.5" style="66" customWidth="1"/>
    <col min="5862" max="5862" width="56.5" style="66" customWidth="1"/>
    <col min="5863" max="5863" width="15.33203125" style="66" customWidth="1"/>
    <col min="5864" max="5864" width="15.83203125" style="66" customWidth="1"/>
    <col min="5865" max="5865" width="15.1640625" style="66" customWidth="1"/>
    <col min="5866" max="5924" width="13.6640625" style="66" customWidth="1"/>
    <col min="5925" max="6116" width="9.1640625" style="66"/>
    <col min="6117" max="6117" width="5.5" style="66" customWidth="1"/>
    <col min="6118" max="6118" width="56.5" style="66" customWidth="1"/>
    <col min="6119" max="6119" width="15.33203125" style="66" customWidth="1"/>
    <col min="6120" max="6120" width="15.83203125" style="66" customWidth="1"/>
    <col min="6121" max="6121" width="15.1640625" style="66" customWidth="1"/>
    <col min="6122" max="6180" width="13.6640625" style="66" customWidth="1"/>
    <col min="6181" max="6372" width="9.1640625" style="66"/>
    <col min="6373" max="6373" width="5.5" style="66" customWidth="1"/>
    <col min="6374" max="6374" width="56.5" style="66" customWidth="1"/>
    <col min="6375" max="6375" width="15.33203125" style="66" customWidth="1"/>
    <col min="6376" max="6376" width="15.83203125" style="66" customWidth="1"/>
    <col min="6377" max="6377" width="15.1640625" style="66" customWidth="1"/>
    <col min="6378" max="6436" width="13.6640625" style="66" customWidth="1"/>
    <col min="6437" max="6628" width="9.1640625" style="66"/>
    <col min="6629" max="6629" width="5.5" style="66" customWidth="1"/>
    <col min="6630" max="6630" width="56.5" style="66" customWidth="1"/>
    <col min="6631" max="6631" width="15.33203125" style="66" customWidth="1"/>
    <col min="6632" max="6632" width="15.83203125" style="66" customWidth="1"/>
    <col min="6633" max="6633" width="15.1640625" style="66" customWidth="1"/>
    <col min="6634" max="6692" width="13.6640625" style="66" customWidth="1"/>
    <col min="6693" max="6884" width="9.1640625" style="66"/>
    <col min="6885" max="6885" width="5.5" style="66" customWidth="1"/>
    <col min="6886" max="6886" width="56.5" style="66" customWidth="1"/>
    <col min="6887" max="6887" width="15.33203125" style="66" customWidth="1"/>
    <col min="6888" max="6888" width="15.83203125" style="66" customWidth="1"/>
    <col min="6889" max="6889" width="15.1640625" style="66" customWidth="1"/>
    <col min="6890" max="6948" width="13.6640625" style="66" customWidth="1"/>
    <col min="6949" max="7140" width="9.1640625" style="66"/>
    <col min="7141" max="7141" width="5.5" style="66" customWidth="1"/>
    <col min="7142" max="7142" width="56.5" style="66" customWidth="1"/>
    <col min="7143" max="7143" width="15.33203125" style="66" customWidth="1"/>
    <col min="7144" max="7144" width="15.83203125" style="66" customWidth="1"/>
    <col min="7145" max="7145" width="15.1640625" style="66" customWidth="1"/>
    <col min="7146" max="7204" width="13.6640625" style="66" customWidth="1"/>
    <col min="7205" max="7396" width="9.1640625" style="66"/>
    <col min="7397" max="7397" width="5.5" style="66" customWidth="1"/>
    <col min="7398" max="7398" width="56.5" style="66" customWidth="1"/>
    <col min="7399" max="7399" width="15.33203125" style="66" customWidth="1"/>
    <col min="7400" max="7400" width="15.83203125" style="66" customWidth="1"/>
    <col min="7401" max="7401" width="15.1640625" style="66" customWidth="1"/>
    <col min="7402" max="7460" width="13.6640625" style="66" customWidth="1"/>
    <col min="7461" max="7652" width="9.1640625" style="66"/>
    <col min="7653" max="7653" width="5.5" style="66" customWidth="1"/>
    <col min="7654" max="7654" width="56.5" style="66" customWidth="1"/>
    <col min="7655" max="7655" width="15.33203125" style="66" customWidth="1"/>
    <col min="7656" max="7656" width="15.83203125" style="66" customWidth="1"/>
    <col min="7657" max="7657" width="15.1640625" style="66" customWidth="1"/>
    <col min="7658" max="7716" width="13.6640625" style="66" customWidth="1"/>
    <col min="7717" max="7908" width="9.1640625" style="66"/>
    <col min="7909" max="7909" width="5.5" style="66" customWidth="1"/>
    <col min="7910" max="7910" width="56.5" style="66" customWidth="1"/>
    <col min="7911" max="7911" width="15.33203125" style="66" customWidth="1"/>
    <col min="7912" max="7912" width="15.83203125" style="66" customWidth="1"/>
    <col min="7913" max="7913" width="15.1640625" style="66" customWidth="1"/>
    <col min="7914" max="7972" width="13.6640625" style="66" customWidth="1"/>
    <col min="7973" max="8164" width="9.1640625" style="66"/>
    <col min="8165" max="8165" width="5.5" style="66" customWidth="1"/>
    <col min="8166" max="8166" width="56.5" style="66" customWidth="1"/>
    <col min="8167" max="8167" width="15.33203125" style="66" customWidth="1"/>
    <col min="8168" max="8168" width="15.83203125" style="66" customWidth="1"/>
    <col min="8169" max="8169" width="15.1640625" style="66" customWidth="1"/>
    <col min="8170" max="8228" width="13.6640625" style="66" customWidth="1"/>
    <col min="8229" max="8420" width="9.1640625" style="66"/>
    <col min="8421" max="8421" width="5.5" style="66" customWidth="1"/>
    <col min="8422" max="8422" width="56.5" style="66" customWidth="1"/>
    <col min="8423" max="8423" width="15.33203125" style="66" customWidth="1"/>
    <col min="8424" max="8424" width="15.83203125" style="66" customWidth="1"/>
    <col min="8425" max="8425" width="15.1640625" style="66" customWidth="1"/>
    <col min="8426" max="8484" width="13.6640625" style="66" customWidth="1"/>
    <col min="8485" max="8676" width="9.1640625" style="66"/>
    <col min="8677" max="8677" width="5.5" style="66" customWidth="1"/>
    <col min="8678" max="8678" width="56.5" style="66" customWidth="1"/>
    <col min="8679" max="8679" width="15.33203125" style="66" customWidth="1"/>
    <col min="8680" max="8680" width="15.83203125" style="66" customWidth="1"/>
    <col min="8681" max="8681" width="15.1640625" style="66" customWidth="1"/>
    <col min="8682" max="8740" width="13.6640625" style="66" customWidth="1"/>
    <col min="8741" max="8932" width="9.1640625" style="66"/>
    <col min="8933" max="8933" width="5.5" style="66" customWidth="1"/>
    <col min="8934" max="8934" width="56.5" style="66" customWidth="1"/>
    <col min="8935" max="8935" width="15.33203125" style="66" customWidth="1"/>
    <col min="8936" max="8936" width="15.83203125" style="66" customWidth="1"/>
    <col min="8937" max="8937" width="15.1640625" style="66" customWidth="1"/>
    <col min="8938" max="8996" width="13.6640625" style="66" customWidth="1"/>
    <col min="8997" max="9188" width="9.1640625" style="66"/>
    <col min="9189" max="9189" width="5.5" style="66" customWidth="1"/>
    <col min="9190" max="9190" width="56.5" style="66" customWidth="1"/>
    <col min="9191" max="9191" width="15.33203125" style="66" customWidth="1"/>
    <col min="9192" max="9192" width="15.83203125" style="66" customWidth="1"/>
    <col min="9193" max="9193" width="15.1640625" style="66" customWidth="1"/>
    <col min="9194" max="9252" width="13.6640625" style="66" customWidth="1"/>
    <col min="9253" max="9444" width="9.1640625" style="66"/>
    <col min="9445" max="9445" width="5.5" style="66" customWidth="1"/>
    <col min="9446" max="9446" width="56.5" style="66" customWidth="1"/>
    <col min="9447" max="9447" width="15.33203125" style="66" customWidth="1"/>
    <col min="9448" max="9448" width="15.83203125" style="66" customWidth="1"/>
    <col min="9449" max="9449" width="15.1640625" style="66" customWidth="1"/>
    <col min="9450" max="9508" width="13.6640625" style="66" customWidth="1"/>
    <col min="9509" max="9700" width="9.1640625" style="66"/>
    <col min="9701" max="9701" width="5.5" style="66" customWidth="1"/>
    <col min="9702" max="9702" width="56.5" style="66" customWidth="1"/>
    <col min="9703" max="9703" width="15.33203125" style="66" customWidth="1"/>
    <col min="9704" max="9704" width="15.83203125" style="66" customWidth="1"/>
    <col min="9705" max="9705" width="15.1640625" style="66" customWidth="1"/>
    <col min="9706" max="9764" width="13.6640625" style="66" customWidth="1"/>
    <col min="9765" max="9956" width="9.1640625" style="66"/>
    <col min="9957" max="9957" width="5.5" style="66" customWidth="1"/>
    <col min="9958" max="9958" width="56.5" style="66" customWidth="1"/>
    <col min="9959" max="9959" width="15.33203125" style="66" customWidth="1"/>
    <col min="9960" max="9960" width="15.83203125" style="66" customWidth="1"/>
    <col min="9961" max="9961" width="15.1640625" style="66" customWidth="1"/>
    <col min="9962" max="10020" width="13.6640625" style="66" customWidth="1"/>
    <col min="10021" max="10212" width="9.1640625" style="66"/>
    <col min="10213" max="10213" width="5.5" style="66" customWidth="1"/>
    <col min="10214" max="10214" width="56.5" style="66" customWidth="1"/>
    <col min="10215" max="10215" width="15.33203125" style="66" customWidth="1"/>
    <col min="10216" max="10216" width="15.83203125" style="66" customWidth="1"/>
    <col min="10217" max="10217" width="15.1640625" style="66" customWidth="1"/>
    <col min="10218" max="10276" width="13.6640625" style="66" customWidth="1"/>
    <col min="10277" max="10468" width="9.1640625" style="66"/>
    <col min="10469" max="10469" width="5.5" style="66" customWidth="1"/>
    <col min="10470" max="10470" width="56.5" style="66" customWidth="1"/>
    <col min="10471" max="10471" width="15.33203125" style="66" customWidth="1"/>
    <col min="10472" max="10472" width="15.83203125" style="66" customWidth="1"/>
    <col min="10473" max="10473" width="15.1640625" style="66" customWidth="1"/>
    <col min="10474" max="10532" width="13.6640625" style="66" customWidth="1"/>
    <col min="10533" max="10724" width="9.1640625" style="66"/>
    <col min="10725" max="10725" width="5.5" style="66" customWidth="1"/>
    <col min="10726" max="10726" width="56.5" style="66" customWidth="1"/>
    <col min="10727" max="10727" width="15.33203125" style="66" customWidth="1"/>
    <col min="10728" max="10728" width="15.83203125" style="66" customWidth="1"/>
    <col min="10729" max="10729" width="15.1640625" style="66" customWidth="1"/>
    <col min="10730" max="10788" width="13.6640625" style="66" customWidth="1"/>
    <col min="10789" max="10980" width="9.1640625" style="66"/>
    <col min="10981" max="10981" width="5.5" style="66" customWidth="1"/>
    <col min="10982" max="10982" width="56.5" style="66" customWidth="1"/>
    <col min="10983" max="10983" width="15.33203125" style="66" customWidth="1"/>
    <col min="10984" max="10984" width="15.83203125" style="66" customWidth="1"/>
    <col min="10985" max="10985" width="15.1640625" style="66" customWidth="1"/>
    <col min="10986" max="11044" width="13.6640625" style="66" customWidth="1"/>
    <col min="11045" max="11236" width="9.1640625" style="66"/>
    <col min="11237" max="11237" width="5.5" style="66" customWidth="1"/>
    <col min="11238" max="11238" width="56.5" style="66" customWidth="1"/>
    <col min="11239" max="11239" width="15.33203125" style="66" customWidth="1"/>
    <col min="11240" max="11240" width="15.83203125" style="66" customWidth="1"/>
    <col min="11241" max="11241" width="15.1640625" style="66" customWidth="1"/>
    <col min="11242" max="11300" width="13.6640625" style="66" customWidth="1"/>
    <col min="11301" max="11492" width="9.1640625" style="66"/>
    <col min="11493" max="11493" width="5.5" style="66" customWidth="1"/>
    <col min="11494" max="11494" width="56.5" style="66" customWidth="1"/>
    <col min="11495" max="11495" width="15.33203125" style="66" customWidth="1"/>
    <col min="11496" max="11496" width="15.83203125" style="66" customWidth="1"/>
    <col min="11497" max="11497" width="15.1640625" style="66" customWidth="1"/>
    <col min="11498" max="11556" width="13.6640625" style="66" customWidth="1"/>
    <col min="11557" max="11748" width="9.1640625" style="66"/>
    <col min="11749" max="11749" width="5.5" style="66" customWidth="1"/>
    <col min="11750" max="11750" width="56.5" style="66" customWidth="1"/>
    <col min="11751" max="11751" width="15.33203125" style="66" customWidth="1"/>
    <col min="11752" max="11752" width="15.83203125" style="66" customWidth="1"/>
    <col min="11753" max="11753" width="15.1640625" style="66" customWidth="1"/>
    <col min="11754" max="11812" width="13.6640625" style="66" customWidth="1"/>
    <col min="11813" max="12004" width="9.1640625" style="66"/>
    <col min="12005" max="12005" width="5.5" style="66" customWidth="1"/>
    <col min="12006" max="12006" width="56.5" style="66" customWidth="1"/>
    <col min="12007" max="12007" width="15.33203125" style="66" customWidth="1"/>
    <col min="12008" max="12008" width="15.83203125" style="66" customWidth="1"/>
    <col min="12009" max="12009" width="15.1640625" style="66" customWidth="1"/>
    <col min="12010" max="12068" width="13.6640625" style="66" customWidth="1"/>
    <col min="12069" max="12260" width="9.1640625" style="66"/>
    <col min="12261" max="12261" width="5.5" style="66" customWidth="1"/>
    <col min="12262" max="12262" width="56.5" style="66" customWidth="1"/>
    <col min="12263" max="12263" width="15.33203125" style="66" customWidth="1"/>
    <col min="12264" max="12264" width="15.83203125" style="66" customWidth="1"/>
    <col min="12265" max="12265" width="15.1640625" style="66" customWidth="1"/>
    <col min="12266" max="12324" width="13.6640625" style="66" customWidth="1"/>
    <col min="12325" max="12516" width="9.1640625" style="66"/>
    <col min="12517" max="12517" width="5.5" style="66" customWidth="1"/>
    <col min="12518" max="12518" width="56.5" style="66" customWidth="1"/>
    <col min="12519" max="12519" width="15.33203125" style="66" customWidth="1"/>
    <col min="12520" max="12520" width="15.83203125" style="66" customWidth="1"/>
    <col min="12521" max="12521" width="15.1640625" style="66" customWidth="1"/>
    <col min="12522" max="12580" width="13.6640625" style="66" customWidth="1"/>
    <col min="12581" max="12772" width="9.1640625" style="66"/>
    <col min="12773" max="12773" width="5.5" style="66" customWidth="1"/>
    <col min="12774" max="12774" width="56.5" style="66" customWidth="1"/>
    <col min="12775" max="12775" width="15.33203125" style="66" customWidth="1"/>
    <col min="12776" max="12776" width="15.83203125" style="66" customWidth="1"/>
    <col min="12777" max="12777" width="15.1640625" style="66" customWidth="1"/>
    <col min="12778" max="12836" width="13.6640625" style="66" customWidth="1"/>
    <col min="12837" max="13028" width="9.1640625" style="66"/>
    <col min="13029" max="13029" width="5.5" style="66" customWidth="1"/>
    <col min="13030" max="13030" width="56.5" style="66" customWidth="1"/>
    <col min="13031" max="13031" width="15.33203125" style="66" customWidth="1"/>
    <col min="13032" max="13032" width="15.83203125" style="66" customWidth="1"/>
    <col min="13033" max="13033" width="15.1640625" style="66" customWidth="1"/>
    <col min="13034" max="13092" width="13.6640625" style="66" customWidth="1"/>
    <col min="13093" max="13284" width="9.1640625" style="66"/>
    <col min="13285" max="13285" width="5.5" style="66" customWidth="1"/>
    <col min="13286" max="13286" width="56.5" style="66" customWidth="1"/>
    <col min="13287" max="13287" width="15.33203125" style="66" customWidth="1"/>
    <col min="13288" max="13288" width="15.83203125" style="66" customWidth="1"/>
    <col min="13289" max="13289" width="15.1640625" style="66" customWidth="1"/>
    <col min="13290" max="13348" width="13.6640625" style="66" customWidth="1"/>
    <col min="13349" max="13540" width="9.1640625" style="66"/>
    <col min="13541" max="13541" width="5.5" style="66" customWidth="1"/>
    <col min="13542" max="13542" width="56.5" style="66" customWidth="1"/>
    <col min="13543" max="13543" width="15.33203125" style="66" customWidth="1"/>
    <col min="13544" max="13544" width="15.83203125" style="66" customWidth="1"/>
    <col min="13545" max="13545" width="15.1640625" style="66" customWidth="1"/>
    <col min="13546" max="13604" width="13.6640625" style="66" customWidth="1"/>
    <col min="13605" max="13796" width="9.1640625" style="66"/>
    <col min="13797" max="13797" width="5.5" style="66" customWidth="1"/>
    <col min="13798" max="13798" width="56.5" style="66" customWidth="1"/>
    <col min="13799" max="13799" width="15.33203125" style="66" customWidth="1"/>
    <col min="13800" max="13800" width="15.83203125" style="66" customWidth="1"/>
    <col min="13801" max="13801" width="15.1640625" style="66" customWidth="1"/>
    <col min="13802" max="13860" width="13.6640625" style="66" customWidth="1"/>
    <col min="13861" max="14052" width="9.1640625" style="66"/>
    <col min="14053" max="14053" width="5.5" style="66" customWidth="1"/>
    <col min="14054" max="14054" width="56.5" style="66" customWidth="1"/>
    <col min="14055" max="14055" width="15.33203125" style="66" customWidth="1"/>
    <col min="14056" max="14056" width="15.83203125" style="66" customWidth="1"/>
    <col min="14057" max="14057" width="15.1640625" style="66" customWidth="1"/>
    <col min="14058" max="14116" width="13.6640625" style="66" customWidth="1"/>
    <col min="14117" max="14308" width="9.1640625" style="66"/>
    <col min="14309" max="14309" width="5.5" style="66" customWidth="1"/>
    <col min="14310" max="14310" width="56.5" style="66" customWidth="1"/>
    <col min="14311" max="14311" width="15.33203125" style="66" customWidth="1"/>
    <col min="14312" max="14312" width="15.83203125" style="66" customWidth="1"/>
    <col min="14313" max="14313" width="15.1640625" style="66" customWidth="1"/>
    <col min="14314" max="14372" width="13.6640625" style="66" customWidth="1"/>
    <col min="14373" max="14564" width="9.1640625" style="66"/>
    <col min="14565" max="14565" width="5.5" style="66" customWidth="1"/>
    <col min="14566" max="14566" width="56.5" style="66" customWidth="1"/>
    <col min="14567" max="14567" width="15.33203125" style="66" customWidth="1"/>
    <col min="14568" max="14568" width="15.83203125" style="66" customWidth="1"/>
    <col min="14569" max="14569" width="15.1640625" style="66" customWidth="1"/>
    <col min="14570" max="14628" width="13.6640625" style="66" customWidth="1"/>
    <col min="14629" max="14820" width="9.1640625" style="66"/>
    <col min="14821" max="14821" width="5.5" style="66" customWidth="1"/>
    <col min="14822" max="14822" width="56.5" style="66" customWidth="1"/>
    <col min="14823" max="14823" width="15.33203125" style="66" customWidth="1"/>
    <col min="14824" max="14824" width="15.83203125" style="66" customWidth="1"/>
    <col min="14825" max="14825" width="15.1640625" style="66" customWidth="1"/>
    <col min="14826" max="14884" width="13.6640625" style="66" customWidth="1"/>
    <col min="14885" max="15076" width="9.1640625" style="66"/>
    <col min="15077" max="15077" width="5.5" style="66" customWidth="1"/>
    <col min="15078" max="15078" width="56.5" style="66" customWidth="1"/>
    <col min="15079" max="15079" width="15.33203125" style="66" customWidth="1"/>
    <col min="15080" max="15080" width="15.83203125" style="66" customWidth="1"/>
    <col min="15081" max="15081" width="15.1640625" style="66" customWidth="1"/>
    <col min="15082" max="15140" width="13.6640625" style="66" customWidth="1"/>
    <col min="15141" max="15332" width="9.1640625" style="66"/>
    <col min="15333" max="15333" width="5.5" style="66" customWidth="1"/>
    <col min="15334" max="15334" width="56.5" style="66" customWidth="1"/>
    <col min="15335" max="15335" width="15.33203125" style="66" customWidth="1"/>
    <col min="15336" max="15336" width="15.83203125" style="66" customWidth="1"/>
    <col min="15337" max="15337" width="15.1640625" style="66" customWidth="1"/>
    <col min="15338" max="15396" width="13.6640625" style="66" customWidth="1"/>
    <col min="15397" max="15588" width="9.1640625" style="66"/>
    <col min="15589" max="15589" width="5.5" style="66" customWidth="1"/>
    <col min="15590" max="15590" width="56.5" style="66" customWidth="1"/>
    <col min="15591" max="15591" width="15.33203125" style="66" customWidth="1"/>
    <col min="15592" max="15592" width="15.83203125" style="66" customWidth="1"/>
    <col min="15593" max="15593" width="15.1640625" style="66" customWidth="1"/>
    <col min="15594" max="15652" width="13.6640625" style="66" customWidth="1"/>
    <col min="15653" max="15844" width="9.1640625" style="66"/>
    <col min="15845" max="15845" width="5.5" style="66" customWidth="1"/>
    <col min="15846" max="15846" width="56.5" style="66" customWidth="1"/>
    <col min="15847" max="15847" width="15.33203125" style="66" customWidth="1"/>
    <col min="15848" max="15848" width="15.83203125" style="66" customWidth="1"/>
    <col min="15849" max="15849" width="15.1640625" style="66" customWidth="1"/>
    <col min="15850" max="15908" width="13.6640625" style="66" customWidth="1"/>
    <col min="15909" max="16100" width="9.1640625" style="66"/>
    <col min="16101" max="16101" width="5.5" style="66" customWidth="1"/>
    <col min="16102" max="16102" width="56.5" style="66" customWidth="1"/>
    <col min="16103" max="16103" width="15.33203125" style="66" customWidth="1"/>
    <col min="16104" max="16104" width="15.83203125" style="66" customWidth="1"/>
    <col min="16105" max="16105" width="15.1640625" style="66" customWidth="1"/>
    <col min="16106" max="16164" width="13.6640625" style="66" customWidth="1"/>
    <col min="16165" max="16384" width="9.1640625" style="66"/>
  </cols>
  <sheetData>
    <row r="1" spans="2:36" ht="16">
      <c r="F1" s="31" t="s">
        <v>67</v>
      </c>
    </row>
    <row r="2" spans="2:36" s="30" customFormat="1" ht="16">
      <c r="B2" s="32" t="s">
        <v>127</v>
      </c>
      <c r="C2" s="32"/>
      <c r="D2" s="32"/>
      <c r="E2" s="254" t="s">
        <v>62</v>
      </c>
      <c r="F2" s="33">
        <v>0</v>
      </c>
      <c r="G2" s="33">
        <v>1</v>
      </c>
      <c r="H2" s="33">
        <v>2</v>
      </c>
      <c r="I2" s="33">
        <v>3</v>
      </c>
      <c r="J2" s="33">
        <v>4</v>
      </c>
      <c r="K2" s="33">
        <v>5</v>
      </c>
      <c r="L2" s="33">
        <v>6</v>
      </c>
      <c r="M2" s="33">
        <v>7</v>
      </c>
      <c r="N2" s="33">
        <v>8</v>
      </c>
      <c r="O2" s="33">
        <v>9</v>
      </c>
      <c r="P2" s="33">
        <v>10</v>
      </c>
      <c r="Q2" s="33">
        <v>11</v>
      </c>
      <c r="R2" s="33">
        <v>12</v>
      </c>
      <c r="S2" s="33">
        <v>13</v>
      </c>
      <c r="T2" s="33">
        <v>14</v>
      </c>
      <c r="U2" s="33">
        <v>15</v>
      </c>
      <c r="V2" s="33">
        <v>16</v>
      </c>
      <c r="W2" s="33">
        <v>17</v>
      </c>
      <c r="X2" s="33">
        <v>18</v>
      </c>
      <c r="Y2" s="33">
        <v>19</v>
      </c>
      <c r="Z2" s="33">
        <v>20</v>
      </c>
      <c r="AA2" s="33">
        <v>21</v>
      </c>
      <c r="AB2" s="33">
        <v>22</v>
      </c>
      <c r="AC2" s="33">
        <v>23</v>
      </c>
      <c r="AD2" s="33">
        <v>24</v>
      </c>
      <c r="AE2" s="33">
        <v>25</v>
      </c>
      <c r="AF2" s="33">
        <v>26</v>
      </c>
      <c r="AG2" s="33">
        <v>27</v>
      </c>
      <c r="AH2" s="33">
        <v>28</v>
      </c>
      <c r="AI2" s="33">
        <v>29</v>
      </c>
      <c r="AJ2" s="33">
        <v>30</v>
      </c>
    </row>
    <row r="3" spans="2:36" s="30" customFormat="1" ht="16"/>
    <row r="4" spans="2:36" s="30" customFormat="1" ht="16">
      <c r="B4" s="30" t="s">
        <v>68</v>
      </c>
      <c r="E4" s="81"/>
      <c r="G4" s="320">
        <v>1</v>
      </c>
      <c r="H4" s="34">
        <f>G4*(1-Inputs!$G$10)</f>
        <v>0.995</v>
      </c>
      <c r="I4" s="34">
        <f>H4*(1-Inputs!$G$10)</f>
        <v>0.99002500000000004</v>
      </c>
      <c r="J4" s="34">
        <f>I4*(1-Inputs!$G$10)</f>
        <v>0.98507487500000002</v>
      </c>
      <c r="K4" s="34">
        <f>J4*(1-Inputs!$G$10)</f>
        <v>0.98014950062500006</v>
      </c>
      <c r="L4" s="34">
        <f>K4*(1-Inputs!$G$10)</f>
        <v>0.97524875312187509</v>
      </c>
      <c r="M4" s="34">
        <f>L4*(1-Inputs!$G$10)</f>
        <v>0.97037250935626573</v>
      </c>
      <c r="N4" s="34">
        <f>M4*(1-Inputs!$G$10)</f>
        <v>0.96552064680948435</v>
      </c>
      <c r="O4" s="34">
        <f>N4*(1-Inputs!$G$10)</f>
        <v>0.96069304357543694</v>
      </c>
      <c r="P4" s="34">
        <f>O4*(1-Inputs!$G$10)</f>
        <v>0.95588957835755972</v>
      </c>
      <c r="Q4" s="34">
        <f>P4*(1-Inputs!$G$10)</f>
        <v>0.95111013046577186</v>
      </c>
      <c r="R4" s="34">
        <f>Q4*(1-Inputs!$G$10)</f>
        <v>0.94635457981344295</v>
      </c>
      <c r="S4" s="34">
        <f>R4*(1-Inputs!$G$10)</f>
        <v>0.94162280691437572</v>
      </c>
      <c r="T4" s="34">
        <f>S4*(1-Inputs!$G$10)</f>
        <v>0.93691469287980389</v>
      </c>
      <c r="U4" s="34">
        <f>T4*(1-Inputs!$G$10)</f>
        <v>0.9322301194154049</v>
      </c>
      <c r="V4" s="34">
        <f>U4*(1-Inputs!$G$10)</f>
        <v>0.92756896881832784</v>
      </c>
      <c r="W4" s="34">
        <f>V4*(1-Inputs!$G$10)</f>
        <v>0.92293112397423616</v>
      </c>
      <c r="X4" s="34">
        <f>W4*(1-Inputs!$G$10)</f>
        <v>0.91831646835436498</v>
      </c>
      <c r="Y4" s="34">
        <f>X4*(1-Inputs!$G$10)</f>
        <v>0.91372488601259316</v>
      </c>
      <c r="Z4" s="34">
        <f>Y4*(1-Inputs!$G$10)</f>
        <v>0.90915626158253016</v>
      </c>
      <c r="AA4" s="34">
        <f>Z4*(1-Inputs!$G$10)</f>
        <v>0.90461048027461755</v>
      </c>
      <c r="AB4" s="34">
        <f>AA4*(1-Inputs!$G$10)</f>
        <v>0.90008742787324447</v>
      </c>
      <c r="AC4" s="34">
        <f>AB4*(1-Inputs!$G$10)</f>
        <v>0.89558699073387826</v>
      </c>
      <c r="AD4" s="34">
        <f>AC4*(1-Inputs!$G$10)</f>
        <v>0.89110905578020883</v>
      </c>
      <c r="AE4" s="34">
        <f>AD4*(1-Inputs!$G$10)</f>
        <v>0.88665351050130781</v>
      </c>
      <c r="AF4" s="34">
        <f>AE4*(1-Inputs!$G$10)</f>
        <v>0.8822202429488013</v>
      </c>
      <c r="AG4" s="34">
        <f>AF4*(1-Inputs!$G$10)</f>
        <v>0.87780914173405733</v>
      </c>
      <c r="AH4" s="34">
        <f>AG4*(1-Inputs!$G$10)</f>
        <v>0.87342009602538706</v>
      </c>
      <c r="AI4" s="34">
        <f>AH4*(1-Inputs!$G$10)</f>
        <v>0.86905299554526017</v>
      </c>
      <c r="AJ4" s="34">
        <f>AI4*(1-Inputs!$G$10)</f>
        <v>0.86470773056753381</v>
      </c>
    </row>
    <row r="5" spans="2:36" s="30" customFormat="1" ht="16">
      <c r="B5" s="35" t="s">
        <v>3</v>
      </c>
      <c r="C5" s="35"/>
      <c r="D5" s="35"/>
      <c r="E5" s="81" t="s">
        <v>2</v>
      </c>
      <c r="G5" s="36">
        <f>Inputs!$G$9</f>
        <v>28032000</v>
      </c>
      <c r="H5" s="36">
        <f>IF(H$2&gt;Inputs!$G$11,0,Inputs!$G$9*H$4)</f>
        <v>27891840</v>
      </c>
      <c r="I5" s="36">
        <f>IF(I$2&gt;Inputs!$G$11,0,Inputs!$G$9*I$4)</f>
        <v>27752380.800000001</v>
      </c>
      <c r="J5" s="36">
        <f>IF(J$2&gt;Inputs!$G$11,0,Inputs!$G$9*J$4)</f>
        <v>27613618.896000002</v>
      </c>
      <c r="K5" s="36">
        <f>IF(K$2&gt;Inputs!$G$11,0,Inputs!$G$9*K$4)</f>
        <v>27475550.801520001</v>
      </c>
      <c r="L5" s="36">
        <f>IF(L$2&gt;Inputs!$G$11,0,Inputs!$G$9*L$4)</f>
        <v>27338173.047512401</v>
      </c>
      <c r="M5" s="36">
        <f>IF(M$2&gt;Inputs!$G$11,0,Inputs!$G$9*M$4)</f>
        <v>27201482.182274841</v>
      </c>
      <c r="N5" s="36">
        <f>IF(N$2&gt;Inputs!$G$11,0,Inputs!$G$9*N$4)</f>
        <v>27065474.771363467</v>
      </c>
      <c r="O5" s="36">
        <f>IF(O$2&gt;Inputs!$G$11,0,Inputs!$G$9*O$4)</f>
        <v>26930147.397506647</v>
      </c>
      <c r="P5" s="36">
        <f>IF(P$2&gt;Inputs!$G$11,0,Inputs!$G$9*P$4)</f>
        <v>26795496.660519116</v>
      </c>
      <c r="Q5" s="36">
        <f>IF(Q$2&gt;Inputs!$G$11,0,Inputs!$G$9*Q$4)</f>
        <v>26661519.177216519</v>
      </c>
      <c r="R5" s="36">
        <f>IF(R$2&gt;Inputs!$G$11,0,Inputs!$G$9*R$4)</f>
        <v>26528211.581330433</v>
      </c>
      <c r="S5" s="36">
        <f>IF(S$2&gt;Inputs!$G$11,0,Inputs!$G$9*S$4)</f>
        <v>26395570.52342378</v>
      </c>
      <c r="T5" s="36">
        <f>IF(T$2&gt;Inputs!$G$11,0,Inputs!$G$9*T$4)</f>
        <v>26263592.670806661</v>
      </c>
      <c r="U5" s="36">
        <f>IF(U$2&gt;Inputs!$G$11,0,Inputs!$G$9*U$4)</f>
        <v>26132274.707452629</v>
      </c>
      <c r="V5" s="36">
        <f>IF(V$2&gt;Inputs!$G$11,0,Inputs!$G$9*V$4)</f>
        <v>26001613.333915368</v>
      </c>
      <c r="W5" s="36">
        <f>IF(W$2&gt;Inputs!$G$11,0,Inputs!$G$9*W$4)</f>
        <v>25871605.267245788</v>
      </c>
      <c r="X5" s="36">
        <f>IF(X$2&gt;Inputs!$G$11,0,Inputs!$G$9*X$4)</f>
        <v>25742247.240909558</v>
      </c>
      <c r="Y5" s="36">
        <f>IF(Y$2&gt;Inputs!$G$11,0,Inputs!$G$9*Y$4)</f>
        <v>25613536.004705012</v>
      </c>
      <c r="Z5" s="36">
        <f>IF(Z$2&gt;Inputs!$G$11,0,Inputs!$G$9*Z$4)</f>
        <v>25485468.324681487</v>
      </c>
      <c r="AA5" s="36">
        <f>IF(AA$2&gt;Inputs!$G$11,0,Inputs!$G$9*AA$4)</f>
        <v>0</v>
      </c>
      <c r="AB5" s="36">
        <f>IF(AB$2&gt;Inputs!$G$11,0,Inputs!$G$9*AB$4)</f>
        <v>0</v>
      </c>
      <c r="AC5" s="36">
        <f>IF(AC$2&gt;Inputs!$G$11,0,Inputs!$G$9*AC$4)</f>
        <v>0</v>
      </c>
      <c r="AD5" s="36">
        <f>IF(AD$2&gt;Inputs!$G$11,0,Inputs!$G$9*AD$4)</f>
        <v>0</v>
      </c>
      <c r="AE5" s="36">
        <f>IF(AE$2&gt;Inputs!$G$11,0,Inputs!$G$9*AE$4)</f>
        <v>0</v>
      </c>
      <c r="AF5" s="36">
        <f>IF(AF$2&gt;Inputs!$G$11,0,Inputs!$G$9*AF$4)</f>
        <v>0</v>
      </c>
      <c r="AG5" s="36">
        <f>IF(AG$2&gt;Inputs!$G$11,0,Inputs!$G$9*AG$4)</f>
        <v>0</v>
      </c>
      <c r="AH5" s="36">
        <f>IF(AH$2&gt;Inputs!$G$11,0,Inputs!$G$9*AH$4)</f>
        <v>0</v>
      </c>
      <c r="AI5" s="36">
        <f>IF(AI$2&gt;Inputs!$G$11,0,Inputs!$G$9*AI$4)</f>
        <v>0</v>
      </c>
      <c r="AJ5" s="36">
        <f>IF(AJ$2&gt;Inputs!$G$11,0,Inputs!$G$9*AJ$4)</f>
        <v>0</v>
      </c>
    </row>
    <row r="6" spans="2:36" s="30" customFormat="1" ht="16">
      <c r="B6" s="35"/>
      <c r="C6" s="35"/>
      <c r="D6" s="35"/>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row>
    <row r="7" spans="2:36" s="30" customFormat="1" ht="16">
      <c r="B7" s="35" t="s">
        <v>104</v>
      </c>
      <c r="C7" s="35"/>
      <c r="D7" s="35"/>
      <c r="E7" s="81"/>
    </row>
    <row r="8" spans="2:36" s="30" customFormat="1" ht="16">
      <c r="B8" s="30" t="s">
        <v>106</v>
      </c>
      <c r="E8" s="81"/>
      <c r="G8" s="320">
        <v>1</v>
      </c>
      <c r="H8" s="34">
        <f>G8*(1+(Inputs!$Q$9*Inputs!$Q$8))</f>
        <v>1</v>
      </c>
      <c r="I8" s="34">
        <f>H8*(1+(Inputs!$Q$9*Inputs!$Q$8))</f>
        <v>1</v>
      </c>
      <c r="J8" s="34">
        <f>I8*(1+(Inputs!$Q$9*Inputs!$Q$8))</f>
        <v>1</v>
      </c>
      <c r="K8" s="34">
        <f>J8*(1+(Inputs!$Q$9*Inputs!$Q$8))</f>
        <v>1</v>
      </c>
      <c r="L8" s="34">
        <f>K8*(1+(Inputs!$Q$9*Inputs!$Q$8))</f>
        <v>1</v>
      </c>
      <c r="M8" s="34">
        <f>L8*(1+(Inputs!$Q$9*Inputs!$Q$8))</f>
        <v>1</v>
      </c>
      <c r="N8" s="34">
        <f>M8*(1+(Inputs!$Q$9*Inputs!$Q$8))</f>
        <v>1</v>
      </c>
      <c r="O8" s="34">
        <f>N8*(1+(Inputs!$Q$9*Inputs!$Q$8))</f>
        <v>1</v>
      </c>
      <c r="P8" s="34">
        <f>O8*(1+(Inputs!$Q$9*Inputs!$Q$8))</f>
        <v>1</v>
      </c>
      <c r="Q8" s="34">
        <f>P8*(1+(Inputs!$Q$9*Inputs!$Q$8))</f>
        <v>1</v>
      </c>
      <c r="R8" s="34">
        <f>Q8*(1+(Inputs!$Q$9*Inputs!$Q$8))</f>
        <v>1</v>
      </c>
      <c r="S8" s="34">
        <f>R8*(1+(Inputs!$Q$9*Inputs!$Q$8))</f>
        <v>1</v>
      </c>
      <c r="T8" s="34">
        <f>S8*(1+(Inputs!$Q$9*Inputs!$Q$8))</f>
        <v>1</v>
      </c>
      <c r="U8" s="34">
        <f>T8*(1+(Inputs!$Q$9*Inputs!$Q$8))</f>
        <v>1</v>
      </c>
      <c r="V8" s="34">
        <f>U8*(1+(Inputs!$Q$9*Inputs!$Q$8))</f>
        <v>1</v>
      </c>
      <c r="W8" s="34">
        <f>V8*(1+(Inputs!$Q$9*Inputs!$Q$8))</f>
        <v>1</v>
      </c>
      <c r="X8" s="34">
        <f>W8*(1+(Inputs!$Q$9*Inputs!$Q$8))</f>
        <v>1</v>
      </c>
      <c r="Y8" s="34">
        <f>X8*(1+(Inputs!$Q$9*Inputs!$Q$8))</f>
        <v>1</v>
      </c>
      <c r="Z8" s="34">
        <f>Y8*(1+(Inputs!$Q$9*Inputs!$Q$8))</f>
        <v>1</v>
      </c>
      <c r="AA8" s="34">
        <f>Z8*(1+(Inputs!$Q$9*Inputs!$Q$8))</f>
        <v>1</v>
      </c>
      <c r="AB8" s="34">
        <f>AA8*(1+(Inputs!$Q$9*Inputs!$Q$8))</f>
        <v>1</v>
      </c>
      <c r="AC8" s="34">
        <f>AB8*(1+(Inputs!$Q$9*Inputs!$Q$8))</f>
        <v>1</v>
      </c>
      <c r="AD8" s="34">
        <f>AC8*(1+(Inputs!$Q$9*Inputs!$Q$8))</f>
        <v>1</v>
      </c>
      <c r="AE8" s="34">
        <f>AD8*(1+(Inputs!$Q$9*Inputs!$Q$8))</f>
        <v>1</v>
      </c>
      <c r="AF8" s="34">
        <f>AE8*(1+(Inputs!$Q$9*Inputs!$Q$8))</f>
        <v>1</v>
      </c>
      <c r="AG8" s="34">
        <f>AF8*(1+(Inputs!$Q$9*Inputs!$Q$8))</f>
        <v>1</v>
      </c>
      <c r="AH8" s="34">
        <f>AG8*(1+(Inputs!$Q$9*Inputs!$Q$8))</f>
        <v>1</v>
      </c>
      <c r="AI8" s="34">
        <f>AH8*(1+(Inputs!$Q$9*Inputs!$Q$8))</f>
        <v>1</v>
      </c>
      <c r="AJ8" s="34">
        <f>AI8*(1+(Inputs!$Q$9*Inputs!$Q$8))</f>
        <v>1</v>
      </c>
    </row>
    <row r="9" spans="2:36" s="30" customFormat="1" ht="16">
      <c r="B9" s="30" t="s">
        <v>147</v>
      </c>
      <c r="E9" s="81"/>
      <c r="G9" s="320">
        <v>1</v>
      </c>
      <c r="H9" s="34">
        <f>G9*(1+Inputs!$Q$27)</f>
        <v>1.02</v>
      </c>
      <c r="I9" s="34">
        <f>H9*(1+Inputs!$Q$27)</f>
        <v>1.0404</v>
      </c>
      <c r="J9" s="34">
        <f>I9*(1+Inputs!$Q$27)</f>
        <v>1.0612079999999999</v>
      </c>
      <c r="K9" s="34">
        <f>J9*(1+Inputs!$Q$27)</f>
        <v>1.08243216</v>
      </c>
      <c r="L9" s="34">
        <f>K9*(1+Inputs!$Q$27)</f>
        <v>1.1040808032</v>
      </c>
      <c r="M9" s="34">
        <f>L9*(1+Inputs!$Q$27)</f>
        <v>1.1261624192640001</v>
      </c>
      <c r="N9" s="34">
        <f>M9*(1+Inputs!$Q$27)</f>
        <v>1.14868566764928</v>
      </c>
      <c r="O9" s="34">
        <f>N9*(1+Inputs!$Q$27)</f>
        <v>1.1716593810022657</v>
      </c>
      <c r="P9" s="34">
        <f>O9*(1+Inputs!$Q$27)</f>
        <v>1.1950925686223111</v>
      </c>
      <c r="Q9" s="34">
        <f>P9*(1+Inputs!$Q$27)</f>
        <v>1.2189944199947573</v>
      </c>
      <c r="R9" s="34">
        <f>Q9*(1+Inputs!$Q$27)</f>
        <v>1.2433743083946525</v>
      </c>
      <c r="S9" s="34">
        <f>R9*(1+Inputs!$Q$27)</f>
        <v>1.2682417945625455</v>
      </c>
      <c r="T9" s="34">
        <f>S9*(1+Inputs!$Q$27)</f>
        <v>1.2936066304537963</v>
      </c>
      <c r="U9" s="34">
        <f>T9*(1+Inputs!$Q$27)</f>
        <v>1.3194787630628724</v>
      </c>
      <c r="V9" s="34">
        <f>U9*(1+Inputs!$Q$27)</f>
        <v>1.3458683383241299</v>
      </c>
      <c r="W9" s="34">
        <f>V9*(1+Inputs!$Q$27)</f>
        <v>1.3727857050906125</v>
      </c>
      <c r="X9" s="34">
        <f>W9*(1+Inputs!$Q$27)</f>
        <v>1.4002414191924248</v>
      </c>
      <c r="Y9" s="34">
        <f>X9*(1+Inputs!$Q$27)</f>
        <v>1.4282462475762734</v>
      </c>
      <c r="Z9" s="34">
        <f>Y9*(1+Inputs!$Q$27)</f>
        <v>1.4568111725277988</v>
      </c>
      <c r="AA9" s="34">
        <f>Z9*(1+Inputs!$Q$27)</f>
        <v>1.4859473959783549</v>
      </c>
      <c r="AB9" s="34">
        <f>AA9*(1+Inputs!$Q$27)</f>
        <v>1.5156663438979221</v>
      </c>
      <c r="AC9" s="34">
        <f>AB9*(1+Inputs!$Q$27)</f>
        <v>1.5459796707758806</v>
      </c>
      <c r="AD9" s="34">
        <f>AC9*(1+Inputs!$Q$27)</f>
        <v>1.5768992641913981</v>
      </c>
      <c r="AE9" s="34">
        <f>AD9*(1+Inputs!$Q$27)</f>
        <v>1.6084372494752261</v>
      </c>
      <c r="AF9" s="34">
        <f>AE9*(1+Inputs!$Q$27)</f>
        <v>1.6406059944647307</v>
      </c>
      <c r="AG9" s="34">
        <f>AF9*(1+Inputs!$Q$27)</f>
        <v>1.6734181143540252</v>
      </c>
      <c r="AH9" s="34">
        <f>AG9*(1+Inputs!$Q$27)</f>
        <v>1.7068864766411058</v>
      </c>
      <c r="AI9" s="34">
        <f>AH9*(1+Inputs!$Q$27)</f>
        <v>1.7410242061739281</v>
      </c>
      <c r="AJ9" s="34">
        <f>AI9*(1+Inputs!$Q$27)</f>
        <v>1.7758446902974065</v>
      </c>
    </row>
    <row r="10" spans="2:36" s="30" customFormat="1" ht="16">
      <c r="B10" s="30" t="s">
        <v>148</v>
      </c>
      <c r="E10" s="81"/>
      <c r="G10" s="320">
        <v>1</v>
      </c>
      <c r="H10" s="34">
        <f>G10*(1+Inputs!$Q$43)</f>
        <v>1.02</v>
      </c>
      <c r="I10" s="34">
        <f>H10*(1+Inputs!$Q$43)</f>
        <v>1.0404</v>
      </c>
      <c r="J10" s="34">
        <f>I10*(1+Inputs!$Q$43)</f>
        <v>1.0612079999999999</v>
      </c>
      <c r="K10" s="34">
        <f>J10*(1+Inputs!$Q$43)</f>
        <v>1.08243216</v>
      </c>
      <c r="L10" s="34">
        <f>K10*(1+Inputs!$Q$43)</f>
        <v>1.1040808032</v>
      </c>
      <c r="M10" s="34">
        <f>L10*(1+Inputs!$Q$43)</f>
        <v>1.1261624192640001</v>
      </c>
      <c r="N10" s="34">
        <f>M10*(1+Inputs!$Q$43)</f>
        <v>1.14868566764928</v>
      </c>
      <c r="O10" s="34">
        <f>N10*(1+Inputs!$Q$43)</f>
        <v>1.1716593810022657</v>
      </c>
      <c r="P10" s="34">
        <f>O10*(1+Inputs!$Q$43)</f>
        <v>1.1950925686223111</v>
      </c>
      <c r="Q10" s="34">
        <f>P10*(1+Inputs!$Q$43)</f>
        <v>1.2189944199947573</v>
      </c>
      <c r="R10" s="34">
        <f>Q10*(1+Inputs!$Q$43)</f>
        <v>1.2433743083946525</v>
      </c>
      <c r="S10" s="34">
        <f>R10*(1+Inputs!$Q$43)</f>
        <v>1.2682417945625455</v>
      </c>
      <c r="T10" s="34">
        <f>S10*(1+Inputs!$Q$43)</f>
        <v>1.2936066304537963</v>
      </c>
      <c r="U10" s="34">
        <f>T10*(1+Inputs!$Q$43)</f>
        <v>1.3194787630628724</v>
      </c>
      <c r="V10" s="34">
        <f>U10*(1+Inputs!$Q$43)</f>
        <v>1.3458683383241299</v>
      </c>
      <c r="W10" s="34">
        <f>V10*(1+Inputs!$Q$43)</f>
        <v>1.3727857050906125</v>
      </c>
      <c r="X10" s="34">
        <f>W10*(1+Inputs!$Q$43)</f>
        <v>1.4002414191924248</v>
      </c>
      <c r="Y10" s="34">
        <f>X10*(1+Inputs!$Q$43)</f>
        <v>1.4282462475762734</v>
      </c>
      <c r="Z10" s="34">
        <f>Y10*(1+Inputs!$Q$43)</f>
        <v>1.4568111725277988</v>
      </c>
      <c r="AA10" s="34">
        <f>Z10*(1+Inputs!$Q$43)</f>
        <v>1.4859473959783549</v>
      </c>
      <c r="AB10" s="34">
        <f>AA10*(1+Inputs!$Q$43)</f>
        <v>1.5156663438979221</v>
      </c>
      <c r="AC10" s="34">
        <f>AB10*(1+Inputs!$Q$43)</f>
        <v>1.5459796707758806</v>
      </c>
      <c r="AD10" s="34">
        <f>AC10*(1+Inputs!$Q$43)</f>
        <v>1.5768992641913981</v>
      </c>
      <c r="AE10" s="34">
        <f>AD10*(1+Inputs!$Q$43)</f>
        <v>1.6084372494752261</v>
      </c>
      <c r="AF10" s="34">
        <f>AE10*(1+Inputs!$Q$43)</f>
        <v>1.6406059944647307</v>
      </c>
      <c r="AG10" s="34">
        <f>AF10*(1+Inputs!$Q$43)</f>
        <v>1.6734181143540252</v>
      </c>
      <c r="AH10" s="34">
        <f>AG10*(1+Inputs!$Q$43)</f>
        <v>1.7068864766411058</v>
      </c>
      <c r="AI10" s="34">
        <f>AH10*(1+Inputs!$Q$43)</f>
        <v>1.7410242061739281</v>
      </c>
      <c r="AJ10" s="34">
        <f>AI10*(1+Inputs!$Q$43)</f>
        <v>1.7758446902974065</v>
      </c>
    </row>
    <row r="11" spans="2:36" s="30" customFormat="1" ht="16">
      <c r="E11" s="81"/>
      <c r="F11" s="81"/>
      <c r="G11" s="90"/>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row>
    <row r="12" spans="2:36" s="30" customFormat="1" ht="16">
      <c r="B12" s="37" t="s">
        <v>271</v>
      </c>
      <c r="C12" s="37"/>
      <c r="D12" s="37"/>
      <c r="E12" s="81" t="s">
        <v>53</v>
      </c>
      <c r="F12" s="383">
        <f>1-F13</f>
        <v>1</v>
      </c>
      <c r="G12" s="92">
        <f>$G$72*$F12</f>
        <v>10.050000000000001</v>
      </c>
      <c r="H12" s="92">
        <f>IF(H2&gt;Inputs!$Q$7,0,G12)</f>
        <v>10.050000000000001</v>
      </c>
      <c r="I12" s="92">
        <f>IF(I2&gt;Inputs!$Q$7,0,H12)</f>
        <v>10.050000000000001</v>
      </c>
      <c r="J12" s="92">
        <f>IF(J2&gt;Inputs!$Q$7,0,I12)</f>
        <v>10.050000000000001</v>
      </c>
      <c r="K12" s="92">
        <f>IF(K2&gt;Inputs!$Q$7,0,J12)</f>
        <v>10.050000000000001</v>
      </c>
      <c r="L12" s="92">
        <f>IF(L2&gt;Inputs!$Q$7,0,K12)</f>
        <v>10.050000000000001</v>
      </c>
      <c r="M12" s="92">
        <f>IF(M2&gt;Inputs!$Q$7,0,L12)</f>
        <v>10.050000000000001</v>
      </c>
      <c r="N12" s="92">
        <f>IF(N2&gt;Inputs!$Q$7,0,M12)</f>
        <v>10.050000000000001</v>
      </c>
      <c r="O12" s="92">
        <f>IF(O2&gt;Inputs!$Q$7,0,N12)</f>
        <v>10.050000000000001</v>
      </c>
      <c r="P12" s="92">
        <f>IF(P2&gt;Inputs!$Q$7,0,O12)</f>
        <v>10.050000000000001</v>
      </c>
      <c r="Q12" s="92">
        <f>IF(Q2&gt;Inputs!$Q$7,0,P12)</f>
        <v>10.050000000000001</v>
      </c>
      <c r="R12" s="92">
        <f>IF(R2&gt;Inputs!$Q$7,0,Q12)</f>
        <v>10.050000000000001</v>
      </c>
      <c r="S12" s="92">
        <f>IF(S2&gt;Inputs!$Q$7,0,R12)</f>
        <v>10.050000000000001</v>
      </c>
      <c r="T12" s="92">
        <f>IF(T2&gt;Inputs!$Q$7,0,S12)</f>
        <v>10.050000000000001</v>
      </c>
      <c r="U12" s="92">
        <f>IF(U2&gt;Inputs!$Q$7,0,T12)</f>
        <v>10.050000000000001</v>
      </c>
      <c r="V12" s="92">
        <f>IF(V2&gt;Inputs!$Q$7,0,U12)</f>
        <v>10.050000000000001</v>
      </c>
      <c r="W12" s="92">
        <f>IF(W2&gt;Inputs!$Q$7,0,V12)</f>
        <v>10.050000000000001</v>
      </c>
      <c r="X12" s="92">
        <f>IF(X2&gt;Inputs!$Q$7,0,W12)</f>
        <v>10.050000000000001</v>
      </c>
      <c r="Y12" s="92">
        <f>IF(Y2&gt;Inputs!$Q$7,0,X12)</f>
        <v>10.050000000000001</v>
      </c>
      <c r="Z12" s="92">
        <f>IF(Z2&gt;Inputs!$Q$7,0,Y12)</f>
        <v>10.050000000000001</v>
      </c>
      <c r="AA12" s="92">
        <f>IF(AA2&gt;Inputs!$Q$7,0,Z12)</f>
        <v>0</v>
      </c>
      <c r="AB12" s="92">
        <f>IF(AB2&gt;Inputs!$Q$7,0,AA12)</f>
        <v>0</v>
      </c>
      <c r="AC12" s="92">
        <f>IF(AC2&gt;Inputs!$Q$7,0,AB12)</f>
        <v>0</v>
      </c>
      <c r="AD12" s="92">
        <f>IF(AD2&gt;Inputs!$Q$7,0,AC12)</f>
        <v>0</v>
      </c>
      <c r="AE12" s="92">
        <f>IF(AE2&gt;Inputs!$Q$7,0,AD12)</f>
        <v>0</v>
      </c>
      <c r="AF12" s="92">
        <f>IF(AF2&gt;Inputs!$Q$7,0,AE12)</f>
        <v>0</v>
      </c>
      <c r="AG12" s="92">
        <f>IF(AG2&gt;Inputs!$Q$7,0,AF12)</f>
        <v>0</v>
      </c>
      <c r="AH12" s="92">
        <f>IF(AH2&gt;Inputs!$Q$7,0,AG12)</f>
        <v>0</v>
      </c>
      <c r="AI12" s="92">
        <f>IF(AI2&gt;Inputs!$Q$7,0,AH12)</f>
        <v>0</v>
      </c>
      <c r="AJ12" s="92">
        <f>IF(AJ2&gt;Inputs!$Q$7,0,AI12)</f>
        <v>0</v>
      </c>
    </row>
    <row r="13" spans="2:36" s="30" customFormat="1" ht="16">
      <c r="B13" s="384" t="s">
        <v>273</v>
      </c>
      <c r="C13" s="384"/>
      <c r="D13" s="384"/>
      <c r="E13" s="81" t="s">
        <v>53</v>
      </c>
      <c r="F13" s="382">
        <f>Inputs!Q8</f>
        <v>0</v>
      </c>
      <c r="G13" s="385">
        <f>$G$72*$F13</f>
        <v>0</v>
      </c>
      <c r="H13" s="385">
        <f>IF(H2&gt;Inputs!$Q$7,0,G13*(1+Inputs!$Q$9))</f>
        <v>0</v>
      </c>
      <c r="I13" s="385">
        <f>IF(I2&gt;Inputs!$Q$7,0,H13*(1+Inputs!$Q$9))</f>
        <v>0</v>
      </c>
      <c r="J13" s="385">
        <f>IF(J2&gt;Inputs!$Q$7,0,I13*(1+Inputs!$Q$9))</f>
        <v>0</v>
      </c>
      <c r="K13" s="385">
        <f>IF(K2&gt;Inputs!$Q$7,0,J13*(1+Inputs!$Q$9))</f>
        <v>0</v>
      </c>
      <c r="L13" s="385">
        <f>IF(L2&gt;Inputs!$Q$7,0,K13*(1+Inputs!$Q$9))</f>
        <v>0</v>
      </c>
      <c r="M13" s="385">
        <f>IF(M2&gt;Inputs!$Q$7,0,L13*(1+Inputs!$Q$9))</f>
        <v>0</v>
      </c>
      <c r="N13" s="385">
        <f>IF(N2&gt;Inputs!$Q$7,0,M13*(1+Inputs!$Q$9))</f>
        <v>0</v>
      </c>
      <c r="O13" s="385">
        <f>IF(O2&gt;Inputs!$Q$7,0,N13*(1+Inputs!$Q$9))</f>
        <v>0</v>
      </c>
      <c r="P13" s="385">
        <f>IF(P2&gt;Inputs!$Q$7,0,O13*(1+Inputs!$Q$9))</f>
        <v>0</v>
      </c>
      <c r="Q13" s="385">
        <f>IF(Q2&gt;Inputs!$Q$7,0,P13*(1+Inputs!$Q$9))</f>
        <v>0</v>
      </c>
      <c r="R13" s="385">
        <f>IF(R2&gt;Inputs!$Q$7,0,Q13*(1+Inputs!$Q$9))</f>
        <v>0</v>
      </c>
      <c r="S13" s="385">
        <f>IF(S2&gt;Inputs!$Q$7,0,R13*(1+Inputs!$Q$9))</f>
        <v>0</v>
      </c>
      <c r="T13" s="385">
        <f>IF(T2&gt;Inputs!$Q$7,0,S13*(1+Inputs!$Q$9))</f>
        <v>0</v>
      </c>
      <c r="U13" s="385">
        <f>IF(U2&gt;Inputs!$Q$7,0,T13*(1+Inputs!$Q$9))</f>
        <v>0</v>
      </c>
      <c r="V13" s="385">
        <f>IF(V2&gt;Inputs!$Q$7,0,U13*(1+Inputs!$Q$9))</f>
        <v>0</v>
      </c>
      <c r="W13" s="385">
        <f>IF(W2&gt;Inputs!$Q$7,0,V13*(1+Inputs!$Q$9))</f>
        <v>0</v>
      </c>
      <c r="X13" s="385">
        <f>IF(X2&gt;Inputs!$Q$7,0,W13*(1+Inputs!$Q$9))</f>
        <v>0</v>
      </c>
      <c r="Y13" s="385">
        <f>IF(Y2&gt;Inputs!$Q$7,0,X13*(1+Inputs!$Q$9))</f>
        <v>0</v>
      </c>
      <c r="Z13" s="385">
        <f>IF(Z2&gt;Inputs!$Q$7,0,Y13*(1+Inputs!$Q$9))</f>
        <v>0</v>
      </c>
      <c r="AA13" s="385">
        <f>IF(AA2&gt;Inputs!$Q$7,0,Z13*(1+Inputs!$Q$9))</f>
        <v>0</v>
      </c>
      <c r="AB13" s="385">
        <f>IF(AB2&gt;Inputs!$Q$7,0,AA13*(1+Inputs!$Q$9))</f>
        <v>0</v>
      </c>
      <c r="AC13" s="385">
        <f>IF(AC2&gt;Inputs!$Q$7,0,AB13*(1+Inputs!$Q$9))</f>
        <v>0</v>
      </c>
      <c r="AD13" s="385">
        <f>IF(AD2&gt;Inputs!$Q$7,0,AC13*(1+Inputs!$Q$9))</f>
        <v>0</v>
      </c>
      <c r="AE13" s="385">
        <f>IF(AE2&gt;Inputs!$Q$7,0,AD13*(1+Inputs!$Q$9))</f>
        <v>0</v>
      </c>
      <c r="AF13" s="385">
        <f>IF(AF2&gt;Inputs!$Q$7,0,AE13*(1+Inputs!$Q$9))</f>
        <v>0</v>
      </c>
      <c r="AG13" s="385">
        <f>IF(AG2&gt;Inputs!$Q$7,0,AF13*(1+Inputs!$Q$9))</f>
        <v>0</v>
      </c>
      <c r="AH13" s="385">
        <f>IF(AH2&gt;Inputs!$Q$7,0,AG13*(1+Inputs!$Q$9))</f>
        <v>0</v>
      </c>
      <c r="AI13" s="385">
        <f>IF(AI2&gt;Inputs!$Q$7,0,AH13*(1+Inputs!$Q$9))</f>
        <v>0</v>
      </c>
      <c r="AJ13" s="385">
        <f>IF(AJ2&gt;Inputs!$Q$7,0,AI13*(1+Inputs!$Q$9))</f>
        <v>0</v>
      </c>
    </row>
    <row r="14" spans="2:36" s="30" customFormat="1" ht="16">
      <c r="B14" s="37" t="s">
        <v>272</v>
      </c>
      <c r="C14" s="37"/>
      <c r="D14" s="37"/>
      <c r="E14" s="81" t="s">
        <v>53</v>
      </c>
      <c r="F14" s="94"/>
      <c r="G14" s="92">
        <f>SUM(G12:G13)</f>
        <v>10.050000000000001</v>
      </c>
      <c r="H14" s="92">
        <f t="shared" ref="H14:AJ14" si="0">SUM(H12:H13)</f>
        <v>10.050000000000001</v>
      </c>
      <c r="I14" s="92">
        <f t="shared" si="0"/>
        <v>10.050000000000001</v>
      </c>
      <c r="J14" s="92">
        <f t="shared" si="0"/>
        <v>10.050000000000001</v>
      </c>
      <c r="K14" s="92">
        <f t="shared" si="0"/>
        <v>10.050000000000001</v>
      </c>
      <c r="L14" s="92">
        <f t="shared" si="0"/>
        <v>10.050000000000001</v>
      </c>
      <c r="M14" s="92">
        <f t="shared" si="0"/>
        <v>10.050000000000001</v>
      </c>
      <c r="N14" s="92">
        <f t="shared" si="0"/>
        <v>10.050000000000001</v>
      </c>
      <c r="O14" s="92">
        <f t="shared" si="0"/>
        <v>10.050000000000001</v>
      </c>
      <c r="P14" s="92">
        <f t="shared" si="0"/>
        <v>10.050000000000001</v>
      </c>
      <c r="Q14" s="92">
        <f t="shared" si="0"/>
        <v>10.050000000000001</v>
      </c>
      <c r="R14" s="92">
        <f t="shared" si="0"/>
        <v>10.050000000000001</v>
      </c>
      <c r="S14" s="92">
        <f t="shared" si="0"/>
        <v>10.050000000000001</v>
      </c>
      <c r="T14" s="92">
        <f t="shared" si="0"/>
        <v>10.050000000000001</v>
      </c>
      <c r="U14" s="92">
        <f t="shared" si="0"/>
        <v>10.050000000000001</v>
      </c>
      <c r="V14" s="92">
        <f t="shared" si="0"/>
        <v>10.050000000000001</v>
      </c>
      <c r="W14" s="92">
        <f t="shared" si="0"/>
        <v>10.050000000000001</v>
      </c>
      <c r="X14" s="92">
        <f t="shared" si="0"/>
        <v>10.050000000000001</v>
      </c>
      <c r="Y14" s="92">
        <f t="shared" si="0"/>
        <v>10.050000000000001</v>
      </c>
      <c r="Z14" s="92">
        <f t="shared" si="0"/>
        <v>10.050000000000001</v>
      </c>
      <c r="AA14" s="92">
        <f t="shared" si="0"/>
        <v>0</v>
      </c>
      <c r="AB14" s="92">
        <f t="shared" si="0"/>
        <v>0</v>
      </c>
      <c r="AC14" s="92">
        <f t="shared" si="0"/>
        <v>0</v>
      </c>
      <c r="AD14" s="92">
        <f t="shared" si="0"/>
        <v>0</v>
      </c>
      <c r="AE14" s="92">
        <f t="shared" si="0"/>
        <v>0</v>
      </c>
      <c r="AF14" s="92">
        <f t="shared" si="0"/>
        <v>0</v>
      </c>
      <c r="AG14" s="92">
        <f t="shared" si="0"/>
        <v>0</v>
      </c>
      <c r="AH14" s="92">
        <f t="shared" si="0"/>
        <v>0</v>
      </c>
      <c r="AI14" s="92">
        <f t="shared" si="0"/>
        <v>0</v>
      </c>
      <c r="AJ14" s="92">
        <f t="shared" si="0"/>
        <v>0</v>
      </c>
    </row>
    <row r="15" spans="2:36" s="30" customFormat="1" ht="16">
      <c r="B15" s="37" t="s">
        <v>107</v>
      </c>
      <c r="C15" s="37"/>
      <c r="D15" s="37"/>
      <c r="E15" s="78" t="s">
        <v>0</v>
      </c>
      <c r="F15" s="37"/>
      <c r="G15" s="38">
        <f>(G$14*G$5)/100</f>
        <v>2817216</v>
      </c>
      <c r="H15" s="38">
        <f t="shared" ref="H15:AJ15" si="1">(H$14*H$5)/100</f>
        <v>2803129.92</v>
      </c>
      <c r="I15" s="38">
        <f t="shared" si="1"/>
        <v>2789114.2704000003</v>
      </c>
      <c r="J15" s="38">
        <f t="shared" si="1"/>
        <v>2775168.6990480004</v>
      </c>
      <c r="K15" s="38">
        <f t="shared" si="1"/>
        <v>2761292.8555527604</v>
      </c>
      <c r="L15" s="38">
        <f t="shared" si="1"/>
        <v>2747486.3912749966</v>
      </c>
      <c r="M15" s="38">
        <f t="shared" si="1"/>
        <v>2733748.9593186215</v>
      </c>
      <c r="N15" s="38">
        <f t="shared" si="1"/>
        <v>2720080.2145220283</v>
      </c>
      <c r="O15" s="38">
        <f t="shared" si="1"/>
        <v>2706479.8134494182</v>
      </c>
      <c r="P15" s="38">
        <f t="shared" si="1"/>
        <v>2692947.4143821709</v>
      </c>
      <c r="Q15" s="38">
        <f t="shared" si="1"/>
        <v>2679482.67731026</v>
      </c>
      <c r="R15" s="38">
        <f t="shared" si="1"/>
        <v>2666085.2639237088</v>
      </c>
      <c r="S15" s="38">
        <f t="shared" si="1"/>
        <v>2652754.8376040901</v>
      </c>
      <c r="T15" s="38">
        <f t="shared" si="1"/>
        <v>2639491.0634160698</v>
      </c>
      <c r="U15" s="38">
        <f t="shared" si="1"/>
        <v>2626293.6080989894</v>
      </c>
      <c r="V15" s="38">
        <f t="shared" si="1"/>
        <v>2613162.1400584946</v>
      </c>
      <c r="W15" s="38">
        <f t="shared" si="1"/>
        <v>2600096.3293582019</v>
      </c>
      <c r="X15" s="38">
        <f t="shared" si="1"/>
        <v>2587095.8477114108</v>
      </c>
      <c r="Y15" s="38">
        <f t="shared" si="1"/>
        <v>2574160.3684728537</v>
      </c>
      <c r="Z15" s="38">
        <f t="shared" si="1"/>
        <v>2561289.5666304897</v>
      </c>
      <c r="AA15" s="38">
        <f t="shared" si="1"/>
        <v>0</v>
      </c>
      <c r="AB15" s="38">
        <f t="shared" si="1"/>
        <v>0</v>
      </c>
      <c r="AC15" s="38">
        <f t="shared" si="1"/>
        <v>0</v>
      </c>
      <c r="AD15" s="38">
        <f t="shared" si="1"/>
        <v>0</v>
      </c>
      <c r="AE15" s="38">
        <f t="shared" si="1"/>
        <v>0</v>
      </c>
      <c r="AF15" s="38">
        <f t="shared" si="1"/>
        <v>0</v>
      </c>
      <c r="AG15" s="38">
        <f t="shared" si="1"/>
        <v>0</v>
      </c>
      <c r="AH15" s="38">
        <f t="shared" si="1"/>
        <v>0</v>
      </c>
      <c r="AI15" s="38">
        <f t="shared" si="1"/>
        <v>0</v>
      </c>
      <c r="AJ15" s="38">
        <f t="shared" si="1"/>
        <v>0</v>
      </c>
    </row>
    <row r="16" spans="2:36" s="30" customFormat="1" ht="16">
      <c r="B16" s="37" t="s">
        <v>233</v>
      </c>
      <c r="C16" s="37"/>
      <c r="D16" s="37"/>
      <c r="E16" s="81" t="s">
        <v>53</v>
      </c>
      <c r="F16" s="37"/>
      <c r="G16" s="92">
        <f>IF(Inputs!$Q$7=Inputs!$G$11,0,IF(Inputs!$Q$12="Year One",Inputs!$Q$13,'Complex Inputs'!$D129))</f>
        <v>0</v>
      </c>
      <c r="H16" s="92">
        <f>IF(H$2&gt;Inputs!$G$11,0,IF(Inputs!$Q$12="Year One",G$16*(1+Inputs!$Q$14),'Complex Inputs'!$D130))</f>
        <v>0</v>
      </c>
      <c r="I16" s="92">
        <f>IF(I$2&gt;Inputs!$G$11,0,IF(Inputs!$Q$12="Year One",H$16*(1+Inputs!$Q$14),'Complex Inputs'!$D131))</f>
        <v>0</v>
      </c>
      <c r="J16" s="92">
        <f>IF(J$2&gt;Inputs!$G$11,0,IF(Inputs!$Q$12="Year One",I$16*(1+Inputs!$Q$14),'Complex Inputs'!$D132))</f>
        <v>0</v>
      </c>
      <c r="K16" s="92">
        <f>IF(K$2&gt;Inputs!$G$11,0,IF(Inputs!$Q$12="Year One",J$16*(1+Inputs!$Q$14),'Complex Inputs'!$D133))</f>
        <v>0</v>
      </c>
      <c r="L16" s="92">
        <f>IF(L$2&gt;Inputs!$G$11,0,IF(Inputs!$Q$12="Year One",K$16*(1+Inputs!$Q$14),'Complex Inputs'!$D134))</f>
        <v>0</v>
      </c>
      <c r="M16" s="92">
        <f>IF(M$2&gt;Inputs!$G$11,0,IF(Inputs!$Q$12="Year One",L$16*(1+Inputs!$Q$14),'Complex Inputs'!$D135))</f>
        <v>0</v>
      </c>
      <c r="N16" s="92">
        <f>IF(N$2&gt;Inputs!$G$11,0,IF(Inputs!$Q$12="Year One",M$16*(1+Inputs!$Q$14),'Complex Inputs'!$D136))</f>
        <v>0</v>
      </c>
      <c r="O16" s="92">
        <f>IF(O$2&gt;Inputs!$G$11,0,IF(Inputs!$Q$12="Year One",N$16*(1+Inputs!$Q$14),'Complex Inputs'!$D137))</f>
        <v>0</v>
      </c>
      <c r="P16" s="92">
        <f>IF(P$2&gt;Inputs!$G$11,0,IF(Inputs!$Q$12="Year One",O$16*(1+Inputs!$Q$14),'Complex Inputs'!$D138))</f>
        <v>0</v>
      </c>
      <c r="Q16" s="92">
        <f>IF(Q$2&gt;Inputs!$G$11,0,IF(Inputs!$Q$12="Year One",P$16*(1+Inputs!$Q$14),'Complex Inputs'!$D139))</f>
        <v>0</v>
      </c>
      <c r="R16" s="92">
        <f>IF(R$2&gt;Inputs!$G$11,0,IF(Inputs!$Q$12="Year One",Q$16*(1+Inputs!$Q$14),'Complex Inputs'!$D140))</f>
        <v>0</v>
      </c>
      <c r="S16" s="92">
        <f>IF(S$2&gt;Inputs!$G$11,0,IF(Inputs!$Q$12="Year One",R$16*(1+Inputs!$Q$14),'Complex Inputs'!$D141))</f>
        <v>0</v>
      </c>
      <c r="T16" s="92">
        <f>IF(T$2&gt;Inputs!$G$11,0,IF(Inputs!$Q$12="Year One",S$16*(1+Inputs!$Q$14),'Complex Inputs'!$D142))</f>
        <v>0</v>
      </c>
      <c r="U16" s="92">
        <f>IF(U$2&gt;Inputs!$G$11,0,IF(Inputs!$Q$12="Year One",T$16*(1+Inputs!$Q$14),'Complex Inputs'!$D143))</f>
        <v>0</v>
      </c>
      <c r="V16" s="92">
        <f>IF(V$2&gt;Inputs!$G$11,0,IF(Inputs!$Q$12="Year One",U$16*(1+Inputs!$Q$14),'Complex Inputs'!$D144))</f>
        <v>0</v>
      </c>
      <c r="W16" s="92">
        <f>IF(W$2&gt;Inputs!$G$11,0,IF(Inputs!$Q$12="Year One",V$16*(1+Inputs!$Q$14),'Complex Inputs'!$D145))</f>
        <v>0</v>
      </c>
      <c r="X16" s="92">
        <f>IF(X$2&gt;Inputs!$G$11,0,IF(Inputs!$Q$12="Year One",W$16*(1+Inputs!$Q$14),'Complex Inputs'!$D146))</f>
        <v>0</v>
      </c>
      <c r="Y16" s="92">
        <f>IF(Y$2&gt;Inputs!$G$11,0,IF(Inputs!$Q$12="Year One",X$16*(1+Inputs!$Q$14),'Complex Inputs'!$D147))</f>
        <v>0</v>
      </c>
      <c r="Z16" s="92">
        <f>IF(Z$2&gt;Inputs!$G$11,0,IF(Inputs!$Q$12="Year One",Y$16*(1+Inputs!$Q$14),'Complex Inputs'!$D148))</f>
        <v>0</v>
      </c>
      <c r="AA16" s="92">
        <f>IF(AA$2&gt;Inputs!$G$11,0,IF(Inputs!$Q$12="Year One",Z$16*(1+Inputs!$Q$14),'Complex Inputs'!$D149))</f>
        <v>0</v>
      </c>
      <c r="AB16" s="92">
        <f>IF(AB$2&gt;Inputs!$G$11,0,IF(Inputs!$Q$12="Year One",AA$16*(1+Inputs!$Q$14),'Complex Inputs'!$D150))</f>
        <v>0</v>
      </c>
      <c r="AC16" s="92">
        <f>IF(AC$2&gt;Inputs!$G$11,0,IF(Inputs!$Q$12="Year One",AB$16*(1+Inputs!$Q$14),'Complex Inputs'!$D151))</f>
        <v>0</v>
      </c>
      <c r="AD16" s="92">
        <f>IF(AD$2&gt;Inputs!$G$11,0,IF(Inputs!$Q$12="Year One",AC$16*(1+Inputs!$Q$14),'Complex Inputs'!$D152))</f>
        <v>0</v>
      </c>
      <c r="AE16" s="92">
        <f>IF(AE$2&gt;Inputs!$G$11,0,IF(Inputs!$Q$12="Year One",AD$16*(1+Inputs!$Q$14),'Complex Inputs'!$D153))</f>
        <v>0</v>
      </c>
      <c r="AF16" s="92">
        <f>IF(AF$2&gt;Inputs!$G$11,0,IF(Inputs!$Q$12="Year One",AE$16*(1+Inputs!$Q$14),'Complex Inputs'!$D154))</f>
        <v>0</v>
      </c>
      <c r="AG16" s="92">
        <f>IF(AG$2&gt;Inputs!$G$11,0,IF(Inputs!$Q$12="Year One",AF$16*(1+Inputs!$Q$14),'Complex Inputs'!$D155))</f>
        <v>0</v>
      </c>
      <c r="AH16" s="92">
        <f>IF(AH$2&gt;Inputs!$G$11,0,IF(Inputs!$Q$12="Year One",AG$16*(1+Inputs!$Q$14),'Complex Inputs'!$D156))</f>
        <v>0</v>
      </c>
      <c r="AI16" s="92">
        <f>IF(AI$2&gt;Inputs!$G$11,0,IF(Inputs!$Q$12="Year One",AH$16*(1+Inputs!$Q$14),'Complex Inputs'!$D157))</f>
        <v>0</v>
      </c>
      <c r="AJ16" s="92">
        <f>IF(AJ$2&gt;Inputs!$G$11,0,IF(Inputs!$Q$12="Year One",AI$16*(1+Inputs!$Q$14),'Complex Inputs'!$D158))</f>
        <v>0</v>
      </c>
    </row>
    <row r="17" spans="2:36" s="30" customFormat="1" ht="16">
      <c r="B17" s="37" t="s">
        <v>232</v>
      </c>
      <c r="C17" s="37"/>
      <c r="D17" s="37"/>
      <c r="E17" s="78" t="s">
        <v>0</v>
      </c>
      <c r="F17" s="37"/>
      <c r="G17" s="38">
        <f>IF(G$2&lt;=Inputs!$Q$7,0,IF(G$2&gt;Inputs!$G$11,0,(G$16*G$5)/100))</f>
        <v>0</v>
      </c>
      <c r="H17" s="38">
        <f>IF(H$2&lt;=Inputs!$Q$7,0,IF(H$2&gt;Inputs!$G$11,0,(H$16*H$5)/100))</f>
        <v>0</v>
      </c>
      <c r="I17" s="38">
        <f>IF(I$2&lt;=Inputs!$Q$7,0,IF(I$2&gt;Inputs!$G$11,0,(I$16*I$5)/100))</f>
        <v>0</v>
      </c>
      <c r="J17" s="38">
        <f>IF(J$2&lt;=Inputs!$Q$7,0,IF(J$2&gt;Inputs!$G$11,0,(J$16*J$5)/100))</f>
        <v>0</v>
      </c>
      <c r="K17" s="38">
        <f>IF(K$2&lt;=Inputs!$Q$7,0,IF(K$2&gt;Inputs!$G$11,0,(K$16*K$5)/100))</f>
        <v>0</v>
      </c>
      <c r="L17" s="38">
        <f>IF(L$2&lt;=Inputs!$Q$7,0,IF(L$2&gt;Inputs!$G$11,0,(L$16*L$5)/100))</f>
        <v>0</v>
      </c>
      <c r="M17" s="38">
        <f>IF(M$2&lt;=Inputs!$Q$7,0,IF(M$2&gt;Inputs!$G$11,0,(M$16*M$5)/100))</f>
        <v>0</v>
      </c>
      <c r="N17" s="38">
        <f>IF(N$2&lt;=Inputs!$Q$7,0,IF(N$2&gt;Inputs!$G$11,0,(N$16*N$5)/100))</f>
        <v>0</v>
      </c>
      <c r="O17" s="38">
        <f>IF(O$2&lt;=Inputs!$Q$7,0,IF(O$2&gt;Inputs!$G$11,0,(O$16*O$5)/100))</f>
        <v>0</v>
      </c>
      <c r="P17" s="38">
        <f>IF(P$2&lt;=Inputs!$Q$7,0,IF(P$2&gt;Inputs!$G$11,0,(P$16*P$5)/100))</f>
        <v>0</v>
      </c>
      <c r="Q17" s="38">
        <f>IF(Q$2&lt;=Inputs!$Q$7,0,IF(Q$2&gt;Inputs!$G$11,0,(Q$16*Q$5)/100))</f>
        <v>0</v>
      </c>
      <c r="R17" s="38">
        <f>IF(R$2&lt;=Inputs!$Q$7,0,IF(R$2&gt;Inputs!$G$11,0,(R$16*R$5)/100))</f>
        <v>0</v>
      </c>
      <c r="S17" s="38">
        <f>IF(S$2&lt;=Inputs!$Q$7,0,IF(S$2&gt;Inputs!$G$11,0,(S$16*S$5)/100))</f>
        <v>0</v>
      </c>
      <c r="T17" s="38">
        <f>IF(T$2&lt;=Inputs!$Q$7,0,IF(T$2&gt;Inputs!$G$11,0,(T$16*T$5)/100))</f>
        <v>0</v>
      </c>
      <c r="U17" s="38">
        <f>IF(U$2&lt;=Inputs!$Q$7,0,IF(U$2&gt;Inputs!$G$11,0,(U$16*U$5)/100))</f>
        <v>0</v>
      </c>
      <c r="V17" s="38">
        <f>IF(V$2&lt;=Inputs!$Q$7,0,IF(V$2&gt;Inputs!$G$11,0,(V$16*V$5)/100))</f>
        <v>0</v>
      </c>
      <c r="W17" s="38">
        <f>IF(W$2&lt;=Inputs!$Q$7,0,IF(W$2&gt;Inputs!$G$11,0,(W$16*W$5)/100))</f>
        <v>0</v>
      </c>
      <c r="X17" s="38">
        <f>IF(X$2&lt;=Inputs!$Q$7,0,IF(X$2&gt;Inputs!$G$11,0,(X$16*X$5)/100))</f>
        <v>0</v>
      </c>
      <c r="Y17" s="38">
        <f>IF(Y$2&lt;=Inputs!$Q$7,0,IF(Y$2&gt;Inputs!$G$11,0,(Y$16*Y$5)/100))</f>
        <v>0</v>
      </c>
      <c r="Z17" s="38">
        <f>IF(Z$2&lt;=Inputs!$Q$7,0,IF(Z$2&gt;Inputs!$G$11,0,(Z$16*Z$5)/100))</f>
        <v>0</v>
      </c>
      <c r="AA17" s="38">
        <f>IF(AA$2&lt;=Inputs!$Q$7,0,IF(AA$2&gt;Inputs!$G$11,0,(AA$16*AA$5)/100))</f>
        <v>0</v>
      </c>
      <c r="AB17" s="38">
        <f>IF(AB$2&lt;=Inputs!$Q$7,0,IF(AB$2&gt;Inputs!$G$11,0,(AB$16*AB$5)/100))</f>
        <v>0</v>
      </c>
      <c r="AC17" s="38">
        <f>IF(AC$2&lt;=Inputs!$Q$7,0,IF(AC$2&gt;Inputs!$G$11,0,(AC$16*AC$5)/100))</f>
        <v>0</v>
      </c>
      <c r="AD17" s="38">
        <f>IF(AD$2&lt;=Inputs!$Q$7,0,IF(AD$2&gt;Inputs!$G$11,0,(AD$16*AD$5)/100))</f>
        <v>0</v>
      </c>
      <c r="AE17" s="38">
        <f>IF(AE$2&lt;=Inputs!$Q$7,0,IF(AE$2&gt;Inputs!$G$11,0,(AE$16*AE$5)/100))</f>
        <v>0</v>
      </c>
      <c r="AF17" s="38">
        <f>IF(AF$2&lt;=Inputs!$Q$7,0,IF(AF$2&gt;Inputs!$G$11,0,(AF$16*AF$5)/100))</f>
        <v>0</v>
      </c>
      <c r="AG17" s="38">
        <f>IF(AG$2&lt;=Inputs!$Q$7,0,IF(AG$2&gt;Inputs!$G$11,0,(AG$16*AG$5)/100))</f>
        <v>0</v>
      </c>
      <c r="AH17" s="38">
        <f>IF(AH$2&lt;=Inputs!$Q$7,0,IF(AH$2&gt;Inputs!$G$11,0,(AH$16*AH$5)/100))</f>
        <v>0</v>
      </c>
      <c r="AI17" s="38">
        <f>IF(AI$2&lt;=Inputs!$Q$7,0,IF(AI$2&gt;Inputs!$G$11,0,(AI$16*AI$5)/100))</f>
        <v>0</v>
      </c>
      <c r="AJ17" s="38">
        <f>IF(AJ$2&lt;=Inputs!$Q$7,0,IF(AJ$2&gt;Inputs!$G$11,0,(AJ$16*AJ$5)/100))</f>
        <v>0</v>
      </c>
    </row>
    <row r="18" spans="2:36" s="30" customFormat="1" ht="16">
      <c r="B18" s="37" t="s">
        <v>108</v>
      </c>
      <c r="C18" s="37"/>
      <c r="D18" s="37"/>
      <c r="E18" s="81" t="s">
        <v>53</v>
      </c>
      <c r="F18" s="37"/>
      <c r="G18" s="92">
        <f>IF(OR(Inputs!$Q$18="Cost-Based",Inputs!$Q$18="Neither"),0,IF(AND(Inputs!$Q$23="Cash",G$2&lt;=Inputs!$Q$26),Inputs!$Q$24*G$9,0))</f>
        <v>0</v>
      </c>
      <c r="H18" s="92">
        <f>IF(OR(Inputs!$Q$18="Cost-Based",Inputs!$Q$18="Neither"),0,IF(AND(Inputs!$Q$23="Cash",H$2&lt;=Inputs!$Q$26),Inputs!$Q$24*H$9,0))</f>
        <v>0</v>
      </c>
      <c r="I18" s="92">
        <f>IF(OR(Inputs!$Q$18="Cost-Based",Inputs!$Q$18="Neither"),0,IF(AND(Inputs!$Q$23="Cash",I$2&lt;=Inputs!$Q$26),Inputs!$Q$24*I$9,0))</f>
        <v>0</v>
      </c>
      <c r="J18" s="92">
        <f>IF(OR(Inputs!$Q$18="Cost-Based",Inputs!$Q$18="Neither"),0,IF(AND(Inputs!$Q$23="Cash",J$2&lt;=Inputs!$Q$26),Inputs!$Q$24*J$9,0))</f>
        <v>0</v>
      </c>
      <c r="K18" s="92">
        <f>IF(OR(Inputs!$Q$18="Cost-Based",Inputs!$Q$18="Neither"),0,IF(AND(Inputs!$Q$23="Cash",K$2&lt;=Inputs!$Q$26),Inputs!$Q$24*K$9,0))</f>
        <v>0</v>
      </c>
      <c r="L18" s="92">
        <f>IF(OR(Inputs!$Q$18="Cost-Based",Inputs!$Q$18="Neither"),0,IF(AND(Inputs!$Q$23="Cash",L$2&lt;=Inputs!$Q$26),Inputs!$Q$24*L$9,0))</f>
        <v>0</v>
      </c>
      <c r="M18" s="92">
        <f>IF(OR(Inputs!$Q$18="Cost-Based",Inputs!$Q$18="Neither"),0,IF(AND(Inputs!$Q$23="Cash",M$2&lt;=Inputs!$Q$26),Inputs!$Q$24*M$9,0))</f>
        <v>0</v>
      </c>
      <c r="N18" s="92">
        <f>IF(OR(Inputs!$Q$18="Cost-Based",Inputs!$Q$18="Neither"),0,IF(AND(Inputs!$Q$23="Cash",N$2&lt;=Inputs!$Q$26),Inputs!$Q$24*N$9,0))</f>
        <v>0</v>
      </c>
      <c r="O18" s="92">
        <f>IF(OR(Inputs!$Q$18="Cost-Based",Inputs!$Q$18="Neither"),0,IF(AND(Inputs!$Q$23="Cash",O$2&lt;=Inputs!$Q$26),Inputs!$Q$24*O$9,0))</f>
        <v>0</v>
      </c>
      <c r="P18" s="92">
        <f>IF(OR(Inputs!$Q$18="Cost-Based",Inputs!$Q$18="Neither"),0,IF(AND(Inputs!$Q$23="Cash",P$2&lt;=Inputs!$Q$26),Inputs!$Q$24*P$9,0))</f>
        <v>0</v>
      </c>
      <c r="Q18" s="92">
        <f>IF(OR(Inputs!$Q$18="Cost-Based",Inputs!$Q$18="Neither"),0,IF(AND(Inputs!$Q$23="Cash",Q$2&lt;=Inputs!$Q$26),Inputs!$Q$24*Q$9,0))</f>
        <v>0</v>
      </c>
      <c r="R18" s="92">
        <f>IF(OR(Inputs!$Q$18="Cost-Based",Inputs!$Q$18="Neither"),0,IF(AND(Inputs!$Q$23="Cash",R$2&lt;=Inputs!$Q$26),Inputs!$Q$24*R$9,0))</f>
        <v>0</v>
      </c>
      <c r="S18" s="92">
        <f>IF(OR(Inputs!$Q$18="Cost-Based",Inputs!$Q$18="Neither"),0,IF(AND(Inputs!$Q$23="Cash",S$2&lt;=Inputs!$Q$26),Inputs!$Q$24*S$9,0))</f>
        <v>0</v>
      </c>
      <c r="T18" s="92">
        <f>IF(OR(Inputs!$Q$18="Cost-Based",Inputs!$Q$18="Neither"),0,IF(AND(Inputs!$Q$23="Cash",T$2&lt;=Inputs!$Q$26),Inputs!$Q$24*T$9,0))</f>
        <v>0</v>
      </c>
      <c r="U18" s="92">
        <f>IF(OR(Inputs!$Q$18="Cost-Based",Inputs!$Q$18="Neither"),0,IF(AND(Inputs!$Q$23="Cash",U$2&lt;=Inputs!$Q$26),Inputs!$Q$24*U$9,0))</f>
        <v>0</v>
      </c>
      <c r="V18" s="92">
        <f>IF(OR(Inputs!$Q$18="Cost-Based",Inputs!$Q$18="Neither"),0,IF(AND(Inputs!$Q$23="Cash",V$2&lt;=Inputs!$Q$26),Inputs!$Q$24*V$9,0))</f>
        <v>0</v>
      </c>
      <c r="W18" s="92">
        <f>IF(OR(Inputs!$Q$18="Cost-Based",Inputs!$Q$18="Neither"),0,IF(AND(Inputs!$Q$23="Cash",W$2&lt;=Inputs!$Q$26),Inputs!$Q$24*W$9,0))</f>
        <v>0</v>
      </c>
      <c r="X18" s="92">
        <f>IF(OR(Inputs!$Q$18="Cost-Based",Inputs!$Q$18="Neither"),0,IF(AND(Inputs!$Q$23="Cash",X$2&lt;=Inputs!$Q$26),Inputs!$Q$24*X$9,0))</f>
        <v>0</v>
      </c>
      <c r="Y18" s="92">
        <f>IF(OR(Inputs!$Q$18="Cost-Based",Inputs!$Q$18="Neither"),0,IF(AND(Inputs!$Q$23="Cash",Y$2&lt;=Inputs!$Q$26),Inputs!$Q$24*Y$9,0))</f>
        <v>0</v>
      </c>
      <c r="Z18" s="92">
        <f>IF(OR(Inputs!$Q$18="Cost-Based",Inputs!$Q$18="Neither"),0,IF(AND(Inputs!$Q$23="Cash",Z$2&lt;=Inputs!$Q$26),Inputs!$Q$24*Z$9,0))</f>
        <v>0</v>
      </c>
      <c r="AA18" s="92">
        <f>IF(OR(Inputs!$Q$18="Cost-Based",Inputs!$Q$18="Neither"),0,IF(AND(Inputs!$Q$23="Cash",AA$2&lt;=Inputs!$Q$26),Inputs!$Q$24*AA$9,0))</f>
        <v>0</v>
      </c>
      <c r="AB18" s="92">
        <f>IF(OR(Inputs!$Q$18="Cost-Based",Inputs!$Q$18="Neither"),0,IF(AND(Inputs!$Q$23="Cash",AB$2&lt;=Inputs!$Q$26),Inputs!$Q$24*AB$9,0))</f>
        <v>0</v>
      </c>
      <c r="AC18" s="92">
        <f>IF(OR(Inputs!$Q$18="Cost-Based",Inputs!$Q$18="Neither"),0,IF(AND(Inputs!$Q$23="Cash",AC$2&lt;=Inputs!$Q$26),Inputs!$Q$24*AC$9,0))</f>
        <v>0</v>
      </c>
      <c r="AD18" s="92">
        <f>IF(OR(Inputs!$Q$18="Cost-Based",Inputs!$Q$18="Neither"),0,IF(AND(Inputs!$Q$23="Cash",AD$2&lt;=Inputs!$Q$26),Inputs!$Q$24*AD$9,0))</f>
        <v>0</v>
      </c>
      <c r="AE18" s="92">
        <f>IF(OR(Inputs!$Q$18="Cost-Based",Inputs!$Q$18="Neither"),0,IF(AND(Inputs!$Q$23="Cash",AE$2&lt;=Inputs!$Q$26),Inputs!$Q$24*AE$9,0))</f>
        <v>0</v>
      </c>
      <c r="AF18" s="92">
        <f>IF(OR(Inputs!$Q$18="Cost-Based",Inputs!$Q$18="Neither"),0,IF(AND(Inputs!$Q$23="Cash",AF$2&lt;=Inputs!$Q$26),Inputs!$Q$24*AF$9,0))</f>
        <v>0</v>
      </c>
      <c r="AG18" s="92">
        <f>IF(OR(Inputs!$Q$18="Cost-Based",Inputs!$Q$18="Neither"),0,IF(AND(Inputs!$Q$23="Cash",AG$2&lt;=Inputs!$Q$26),Inputs!$Q$24*AG$9,0))</f>
        <v>0</v>
      </c>
      <c r="AH18" s="92">
        <f>IF(OR(Inputs!$Q$18="Cost-Based",Inputs!$Q$18="Neither"),0,IF(AND(Inputs!$Q$23="Cash",AH$2&lt;=Inputs!$Q$26),Inputs!$Q$24*AH$9,0))</f>
        <v>0</v>
      </c>
      <c r="AI18" s="92">
        <f>IF(OR(Inputs!$Q$18="Cost-Based",Inputs!$Q$18="Neither"),0,IF(AND(Inputs!$Q$23="Cash",AI$2&lt;=Inputs!$Q$26),Inputs!$Q$24*AI$9,0))</f>
        <v>0</v>
      </c>
      <c r="AJ18" s="92">
        <f>IF(OR(Inputs!$Q$18="Cost-Based",Inputs!$Q$18="Neither"),0,IF(AND(Inputs!$Q$23="Cash",AJ$2&lt;=Inputs!$Q$26),Inputs!$Q$24*AJ$9,0))</f>
        <v>0</v>
      </c>
    </row>
    <row r="19" spans="2:36" s="30" customFormat="1" ht="16">
      <c r="B19" s="37" t="s">
        <v>109</v>
      </c>
      <c r="C19" s="37"/>
      <c r="D19" s="37"/>
      <c r="E19" s="78" t="s">
        <v>0</v>
      </c>
      <c r="F19" s="37"/>
      <c r="G19" s="38">
        <f>(G$18*G$5)/100</f>
        <v>0</v>
      </c>
      <c r="H19" s="38">
        <f t="shared" ref="H19:AJ19" si="2">(H$18*H$5)/100</f>
        <v>0</v>
      </c>
      <c r="I19" s="38">
        <f t="shared" si="2"/>
        <v>0</v>
      </c>
      <c r="J19" s="38">
        <f t="shared" si="2"/>
        <v>0</v>
      </c>
      <c r="K19" s="38">
        <f t="shared" si="2"/>
        <v>0</v>
      </c>
      <c r="L19" s="38">
        <f t="shared" si="2"/>
        <v>0</v>
      </c>
      <c r="M19" s="38">
        <f t="shared" si="2"/>
        <v>0</v>
      </c>
      <c r="N19" s="38">
        <f t="shared" si="2"/>
        <v>0</v>
      </c>
      <c r="O19" s="38">
        <f t="shared" si="2"/>
        <v>0</v>
      </c>
      <c r="P19" s="38">
        <f t="shared" si="2"/>
        <v>0</v>
      </c>
      <c r="Q19" s="38">
        <f t="shared" si="2"/>
        <v>0</v>
      </c>
      <c r="R19" s="38">
        <f t="shared" si="2"/>
        <v>0</v>
      </c>
      <c r="S19" s="38">
        <f t="shared" si="2"/>
        <v>0</v>
      </c>
      <c r="T19" s="38">
        <f t="shared" si="2"/>
        <v>0</v>
      </c>
      <c r="U19" s="38">
        <f t="shared" si="2"/>
        <v>0</v>
      </c>
      <c r="V19" s="38">
        <f t="shared" si="2"/>
        <v>0</v>
      </c>
      <c r="W19" s="38">
        <f t="shared" si="2"/>
        <v>0</v>
      </c>
      <c r="X19" s="38">
        <f t="shared" si="2"/>
        <v>0</v>
      </c>
      <c r="Y19" s="38">
        <f t="shared" si="2"/>
        <v>0</v>
      </c>
      <c r="Z19" s="38">
        <f t="shared" si="2"/>
        <v>0</v>
      </c>
      <c r="AA19" s="38">
        <f t="shared" si="2"/>
        <v>0</v>
      </c>
      <c r="AB19" s="38">
        <f t="shared" si="2"/>
        <v>0</v>
      </c>
      <c r="AC19" s="38">
        <f t="shared" si="2"/>
        <v>0</v>
      </c>
      <c r="AD19" s="38">
        <f t="shared" si="2"/>
        <v>0</v>
      </c>
      <c r="AE19" s="38">
        <f t="shared" si="2"/>
        <v>0</v>
      </c>
      <c r="AF19" s="38">
        <f t="shared" si="2"/>
        <v>0</v>
      </c>
      <c r="AG19" s="38">
        <f t="shared" si="2"/>
        <v>0</v>
      </c>
      <c r="AH19" s="38">
        <f t="shared" si="2"/>
        <v>0</v>
      </c>
      <c r="AI19" s="38">
        <f t="shared" si="2"/>
        <v>0</v>
      </c>
      <c r="AJ19" s="38">
        <f t="shared" si="2"/>
        <v>0</v>
      </c>
    </row>
    <row r="20" spans="2:36" s="39" customFormat="1" ht="16">
      <c r="B20" s="37" t="s">
        <v>110</v>
      </c>
      <c r="C20" s="37"/>
      <c r="D20" s="37"/>
      <c r="E20" s="81" t="s">
        <v>53</v>
      </c>
      <c r="F20" s="37"/>
      <c r="G20" s="92">
        <f>IF(OR(Inputs!$Q$32="Cost-Based",Inputs!$Q$32="Neither"),0,IF(AND(Inputs!$Q$37="Cash",G$2&lt;=Inputs!$Q$42),Inputs!$Q$40*G$10*Inputs!$Q$41,0))</f>
        <v>0</v>
      </c>
      <c r="H20" s="92">
        <f>IF(OR(Inputs!$Q$32="Cost-Based",Inputs!$Q$32="Neither"),0,IF(AND(Inputs!$Q$37="Cash",H$2&lt;=Inputs!$Q$42),Inputs!$Q$40*H$10*Inputs!$Q$41,0))</f>
        <v>0</v>
      </c>
      <c r="I20" s="92">
        <f>IF(OR(Inputs!$Q$32="Cost-Based",Inputs!$Q$32="Neither"),0,IF(AND(Inputs!$Q$37="Cash",I$2&lt;=Inputs!$Q$42),Inputs!$Q$40*I$10*Inputs!$Q$41,0))</f>
        <v>0</v>
      </c>
      <c r="J20" s="92">
        <f>IF(OR(Inputs!$Q$32="Cost-Based",Inputs!$Q$32="Neither"),0,IF(AND(Inputs!$Q$37="Cash",J$2&lt;=Inputs!$Q$42),Inputs!$Q$40*J$10*Inputs!$Q$41,0))</f>
        <v>0</v>
      </c>
      <c r="K20" s="92">
        <f>IF(OR(Inputs!$Q$32="Cost-Based",Inputs!$Q$32="Neither"),0,IF(AND(Inputs!$Q$37="Cash",K$2&lt;=Inputs!$Q$42),Inputs!$Q$40*K$10*Inputs!$Q$41,0))</f>
        <v>0</v>
      </c>
      <c r="L20" s="92">
        <f>IF(OR(Inputs!$Q$32="Cost-Based",Inputs!$Q$32="Neither"),0,IF(AND(Inputs!$Q$37="Cash",L$2&lt;=Inputs!$Q$42),Inputs!$Q$40*L$10*Inputs!$Q$41,0))</f>
        <v>0</v>
      </c>
      <c r="M20" s="92">
        <f>IF(OR(Inputs!$Q$32="Cost-Based",Inputs!$Q$32="Neither"),0,IF(AND(Inputs!$Q$37="Cash",M$2&lt;=Inputs!$Q$42),Inputs!$Q$40*M$10*Inputs!$Q$41,0))</f>
        <v>0</v>
      </c>
      <c r="N20" s="92">
        <f>IF(OR(Inputs!$Q$32="Cost-Based",Inputs!$Q$32="Neither"),0,IF(AND(Inputs!$Q$37="Cash",N$2&lt;=Inputs!$Q$42),Inputs!$Q$40*N$10*Inputs!$Q$41,0))</f>
        <v>0</v>
      </c>
      <c r="O20" s="92">
        <f>IF(OR(Inputs!$Q$32="Cost-Based",Inputs!$Q$32="Neither"),0,IF(AND(Inputs!$Q$37="Cash",O$2&lt;=Inputs!$Q$42),Inputs!$Q$40*O$10*Inputs!$Q$41,0))</f>
        <v>0</v>
      </c>
      <c r="P20" s="92">
        <f>IF(OR(Inputs!$Q$32="Cost-Based",Inputs!$Q$32="Neither"),0,IF(AND(Inputs!$Q$37="Cash",P$2&lt;=Inputs!$Q$42),Inputs!$Q$40*P$10*Inputs!$Q$41,0))</f>
        <v>0</v>
      </c>
      <c r="Q20" s="92">
        <f>IF(OR(Inputs!$Q$32="Cost-Based",Inputs!$Q$32="Neither"),0,IF(AND(Inputs!$Q$37="Cash",Q$2&lt;=Inputs!$Q$42),Inputs!$Q$40*Q$10*Inputs!$Q$41,0))</f>
        <v>0</v>
      </c>
      <c r="R20" s="92">
        <f>IF(OR(Inputs!$Q$32="Cost-Based",Inputs!$Q$32="Neither"),0,IF(AND(Inputs!$Q$37="Cash",R$2&lt;=Inputs!$Q$42),Inputs!$Q$40*R$10*Inputs!$Q$41,0))</f>
        <v>0</v>
      </c>
      <c r="S20" s="92">
        <f>IF(OR(Inputs!$Q$32="Cost-Based",Inputs!$Q$32="Neither"),0,IF(AND(Inputs!$Q$37="Cash",S$2&lt;=Inputs!$Q$42),Inputs!$Q$40*S$10*Inputs!$Q$41,0))</f>
        <v>0</v>
      </c>
      <c r="T20" s="92">
        <f>IF(OR(Inputs!$Q$32="Cost-Based",Inputs!$Q$32="Neither"),0,IF(AND(Inputs!$Q$37="Cash",T$2&lt;=Inputs!$Q$42),Inputs!$Q$40*T$10*Inputs!$Q$41,0))</f>
        <v>0</v>
      </c>
      <c r="U20" s="92">
        <f>IF(OR(Inputs!$Q$32="Cost-Based",Inputs!$Q$32="Neither"),0,IF(AND(Inputs!$Q$37="Cash",U$2&lt;=Inputs!$Q$42),Inputs!$Q$40*U$10*Inputs!$Q$41,0))</f>
        <v>0</v>
      </c>
      <c r="V20" s="92">
        <f>IF(OR(Inputs!$Q$32="Cost-Based",Inputs!$Q$32="Neither"),0,IF(AND(Inputs!$Q$37="Cash",V$2&lt;=Inputs!$Q$42),Inputs!$Q$40*V$10*Inputs!$Q$41,0))</f>
        <v>0</v>
      </c>
      <c r="W20" s="92">
        <f>IF(OR(Inputs!$Q$32="Cost-Based",Inputs!$Q$32="Neither"),0,IF(AND(Inputs!$Q$37="Cash",W$2&lt;=Inputs!$Q$42),Inputs!$Q$40*W$10*Inputs!$Q$41,0))</f>
        <v>0</v>
      </c>
      <c r="X20" s="92">
        <f>IF(OR(Inputs!$Q$32="Cost-Based",Inputs!$Q$32="Neither"),0,IF(AND(Inputs!$Q$37="Cash",X$2&lt;=Inputs!$Q$42),Inputs!$Q$40*X$10*Inputs!$Q$41,0))</f>
        <v>0</v>
      </c>
      <c r="Y20" s="92">
        <f>IF(OR(Inputs!$Q$32="Cost-Based",Inputs!$Q$32="Neither"),0,IF(AND(Inputs!$Q$37="Cash",Y$2&lt;=Inputs!$Q$42),Inputs!$Q$40*Y$10*Inputs!$Q$41,0))</f>
        <v>0</v>
      </c>
      <c r="Z20" s="92">
        <f>IF(OR(Inputs!$Q$32="Cost-Based",Inputs!$Q$32="Neither"),0,IF(AND(Inputs!$Q$37="Cash",Z$2&lt;=Inputs!$Q$42),Inputs!$Q$40*Z$10*Inputs!$Q$41,0))</f>
        <v>0</v>
      </c>
      <c r="AA20" s="92">
        <f>IF(OR(Inputs!$Q$32="Cost-Based",Inputs!$Q$32="Neither"),0,IF(AND(Inputs!$Q$37="Cash",AA$2&lt;=Inputs!$Q$42),Inputs!$Q$40*AA$10*Inputs!$Q$41,0))</f>
        <v>0</v>
      </c>
      <c r="AB20" s="92">
        <f>IF(OR(Inputs!$Q$32="Cost-Based",Inputs!$Q$32="Neither"),0,IF(AND(Inputs!$Q$37="Cash",AB$2&lt;=Inputs!$Q$42),Inputs!$Q$40*AB$10*Inputs!$Q$41,0))</f>
        <v>0</v>
      </c>
      <c r="AC20" s="92">
        <f>IF(OR(Inputs!$Q$32="Cost-Based",Inputs!$Q$32="Neither"),0,IF(AND(Inputs!$Q$37="Cash",AC$2&lt;=Inputs!$Q$42),Inputs!$Q$40*AC$10*Inputs!$Q$41,0))</f>
        <v>0</v>
      </c>
      <c r="AD20" s="92">
        <f>IF(OR(Inputs!$Q$32="Cost-Based",Inputs!$Q$32="Neither"),0,IF(AND(Inputs!$Q$37="Cash",AD$2&lt;=Inputs!$Q$42),Inputs!$Q$40*AD$10*Inputs!$Q$41,0))</f>
        <v>0</v>
      </c>
      <c r="AE20" s="92">
        <f>IF(OR(Inputs!$Q$32="Cost-Based",Inputs!$Q$32="Neither"),0,IF(AND(Inputs!$Q$37="Cash",AE$2&lt;=Inputs!$Q$42),Inputs!$Q$40*AE$10*Inputs!$Q$41,0))</f>
        <v>0</v>
      </c>
      <c r="AF20" s="92">
        <f>IF(OR(Inputs!$Q$32="Cost-Based",Inputs!$Q$32="Neither"),0,IF(AND(Inputs!$Q$37="Cash",AF$2&lt;=Inputs!$Q$42),Inputs!$Q$40*AF$10*Inputs!$Q$41,0))</f>
        <v>0</v>
      </c>
      <c r="AG20" s="92">
        <f>IF(OR(Inputs!$Q$32="Cost-Based",Inputs!$Q$32="Neither"),0,IF(AND(Inputs!$Q$37="Cash",AG$2&lt;=Inputs!$Q$42),Inputs!$Q$40*AG$10*Inputs!$Q$41,0))</f>
        <v>0</v>
      </c>
      <c r="AH20" s="92">
        <f>IF(OR(Inputs!$Q$32="Cost-Based",Inputs!$Q$32="Neither"),0,IF(AND(Inputs!$Q$37="Cash",AH$2&lt;=Inputs!$Q$42),Inputs!$Q$40*AH$10*Inputs!$Q$41,0))</f>
        <v>0</v>
      </c>
      <c r="AI20" s="92">
        <f>IF(OR(Inputs!$Q$32="Cost-Based",Inputs!$Q$32="Neither"),0,IF(AND(Inputs!$Q$37="Cash",AI$2&lt;=Inputs!$Q$42),Inputs!$Q$40*AI$10*Inputs!$Q$41,0))</f>
        <v>0</v>
      </c>
      <c r="AJ20" s="92">
        <f>IF(OR(Inputs!$Q$32="Cost-Based",Inputs!$Q$32="Neither"),0,IF(AND(Inputs!$Q$37="Cash",AJ$2&lt;=Inputs!$Q$42),Inputs!$Q$40*AJ$10*Inputs!$Q$41,0))</f>
        <v>0</v>
      </c>
    </row>
    <row r="21" spans="2:36" s="39" customFormat="1" ht="16">
      <c r="B21" s="37" t="s">
        <v>111</v>
      </c>
      <c r="C21" s="37"/>
      <c r="D21" s="37"/>
      <c r="E21" s="78" t="s">
        <v>0</v>
      </c>
      <c r="F21" s="37"/>
      <c r="G21" s="38">
        <f>IF(Inputs!$Q$38=0,(G$20*G$5)/100,MIN(Inputs!$Q$38,(G$20*G$5)/100))</f>
        <v>0</v>
      </c>
      <c r="H21" s="38">
        <f>IF(Inputs!$Q$38=0,(H$20*H$5)/100,MIN(Inputs!$Q$38,(H$20*H$5)/100))</f>
        <v>0</v>
      </c>
      <c r="I21" s="38">
        <f>IF(Inputs!$Q$38=0,(I$20*I$5)/100,MIN(Inputs!$Q$38,(I$20*I$5)/100))</f>
        <v>0</v>
      </c>
      <c r="J21" s="38">
        <f>IF(Inputs!$Q$38=0,(J$20*J$5)/100,MIN(Inputs!$Q$38,(J$20*J$5)/100))</f>
        <v>0</v>
      </c>
      <c r="K21" s="38">
        <f>IF(Inputs!$Q$38=0,(K$20*K$5)/100,MIN(Inputs!$Q$38,(K$20*K$5)/100))</f>
        <v>0</v>
      </c>
      <c r="L21" s="38">
        <f>IF(Inputs!$Q$38=0,(L$20*L$5)/100,MIN(Inputs!$Q$38,(L$20*L$5)/100))</f>
        <v>0</v>
      </c>
      <c r="M21" s="38">
        <f>IF(Inputs!$Q$38=0,(M$20*M$5)/100,MIN(Inputs!$Q$38,(M$20*M$5)/100))</f>
        <v>0</v>
      </c>
      <c r="N21" s="38">
        <f>IF(Inputs!$Q$38=0,(N$20*N$5)/100,MIN(Inputs!$Q$38,(N$20*N$5)/100))</f>
        <v>0</v>
      </c>
      <c r="O21" s="38">
        <f>IF(Inputs!$Q$38=0,(O$20*O$5)/100,MIN(Inputs!$Q$38,(O$20*O$5)/100))</f>
        <v>0</v>
      </c>
      <c r="P21" s="38">
        <f>IF(Inputs!$Q$38=0,(P$20*P$5)/100,MIN(Inputs!$Q$38,(P$20*P$5)/100))</f>
        <v>0</v>
      </c>
      <c r="Q21" s="38">
        <f>IF(Inputs!$Q$38=0,(Q$20*Q$5)/100,MIN(Inputs!$Q$38,(Q$20*Q$5)/100))</f>
        <v>0</v>
      </c>
      <c r="R21" s="38">
        <f>IF(Inputs!$Q$38=0,(R$20*R$5)/100,MIN(Inputs!$Q$38,(R$20*R$5)/100))</f>
        <v>0</v>
      </c>
      <c r="S21" s="38">
        <f>IF(Inputs!$Q$38=0,(S$20*S$5)/100,MIN(Inputs!$Q$38,(S$20*S$5)/100))</f>
        <v>0</v>
      </c>
      <c r="T21" s="38">
        <f>IF(Inputs!$Q$38=0,(T$20*T$5)/100,MIN(Inputs!$Q$38,(T$20*T$5)/100))</f>
        <v>0</v>
      </c>
      <c r="U21" s="38">
        <f>IF(Inputs!$Q$38=0,(U$20*U$5)/100,MIN(Inputs!$Q$38,(U$20*U$5)/100))</f>
        <v>0</v>
      </c>
      <c r="V21" s="38">
        <f>IF(Inputs!$Q$38=0,(V$20*V$5)/100,MIN(Inputs!$Q$38,(V$20*V$5)/100))</f>
        <v>0</v>
      </c>
      <c r="W21" s="38">
        <f>IF(Inputs!$Q$38=0,(W$20*W$5)/100,MIN(Inputs!$Q$38,(W$20*W$5)/100))</f>
        <v>0</v>
      </c>
      <c r="X21" s="38">
        <f>IF(Inputs!$Q$38=0,(X$20*X$5)/100,MIN(Inputs!$Q$38,(X$20*X$5)/100))</f>
        <v>0</v>
      </c>
      <c r="Y21" s="38">
        <f>IF(Inputs!$Q$38=0,(Y$20*Y$5)/100,MIN(Inputs!$Q$38,(Y$20*Y$5)/100))</f>
        <v>0</v>
      </c>
      <c r="Z21" s="38">
        <f>IF(Inputs!$Q$38=0,(Z$20*Z$5)/100,MIN(Inputs!$Q$38,(Z$20*Z$5)/100))</f>
        <v>0</v>
      </c>
      <c r="AA21" s="38">
        <f>IF(Inputs!$Q$38=0,(AA$20*AA$5)/100,MIN(Inputs!$Q$38,(AA$20*AA$5)/100))</f>
        <v>0</v>
      </c>
      <c r="AB21" s="38">
        <f>IF(Inputs!$Q$38=0,(AB$20*AB$5)/100,MIN(Inputs!$Q$38,(AB$20*AB$5)/100))</f>
        <v>0</v>
      </c>
      <c r="AC21" s="38">
        <f>IF(Inputs!$Q$38=0,(AC$20*AC$5)/100,MIN(Inputs!$Q$38,(AC$20*AC$5)/100))</f>
        <v>0</v>
      </c>
      <c r="AD21" s="38">
        <f>IF(Inputs!$Q$38=0,(AD$20*AD$5)/100,MIN(Inputs!$Q$38,(AD$20*AD$5)/100))</f>
        <v>0</v>
      </c>
      <c r="AE21" s="38">
        <f>IF(Inputs!$Q$38=0,(AE$20*AE$5)/100,MIN(Inputs!$Q$38,(AE$20*AE$5)/100))</f>
        <v>0</v>
      </c>
      <c r="AF21" s="38">
        <f>IF(Inputs!$Q$38=0,(AF$20*AF$5)/100,MIN(Inputs!$Q$38,(AF$20*AF$5)/100))</f>
        <v>0</v>
      </c>
      <c r="AG21" s="38">
        <f>IF(Inputs!$Q$38=0,(AG$20*AG$5)/100,MIN(Inputs!$Q$38,(AG$20*AG$5)/100))</f>
        <v>0</v>
      </c>
      <c r="AH21" s="38">
        <f>IF(Inputs!$Q$38=0,(AH$20*AH$5)/100,MIN(Inputs!$Q$38,(AH$20*AH$5)/100))</f>
        <v>0</v>
      </c>
      <c r="AI21" s="38">
        <f>IF(Inputs!$Q$38=0,(AI$20*AI$5)/100,MIN(Inputs!$Q$38,(AI$20*AI$5)/100))</f>
        <v>0</v>
      </c>
      <c r="AJ21" s="38">
        <f>IF(Inputs!$Q$38=0,(AJ$20*AJ$5)/100,MIN(Inputs!$Q$38,(AJ$20*AJ$5)/100))</f>
        <v>0</v>
      </c>
    </row>
    <row r="22" spans="2:36" s="39" customFormat="1" ht="16">
      <c r="B22" s="40" t="s">
        <v>195</v>
      </c>
      <c r="C22" s="40"/>
      <c r="D22" s="40"/>
      <c r="E22" s="82" t="s">
        <v>0</v>
      </c>
      <c r="F22" s="40"/>
      <c r="G22" s="152">
        <f>G208</f>
        <v>19131.099319342862</v>
      </c>
      <c r="H22" s="152">
        <f t="shared" ref="H22:AJ22" si="3">H208</f>
        <v>19506.099319342862</v>
      </c>
      <c r="I22" s="152">
        <f t="shared" si="3"/>
        <v>19881.099319342862</v>
      </c>
      <c r="J22" s="152">
        <f t="shared" si="3"/>
        <v>20256.099319342862</v>
      </c>
      <c r="K22" s="152">
        <f t="shared" si="3"/>
        <v>20631.099319342862</v>
      </c>
      <c r="L22" s="152">
        <f t="shared" si="3"/>
        <v>21006.099319342862</v>
      </c>
      <c r="M22" s="152">
        <f t="shared" si="3"/>
        <v>21381.099319342862</v>
      </c>
      <c r="N22" s="152">
        <f t="shared" si="3"/>
        <v>21756.099319342862</v>
      </c>
      <c r="O22" s="152">
        <f t="shared" si="3"/>
        <v>22131.099319342862</v>
      </c>
      <c r="P22" s="152">
        <f t="shared" si="3"/>
        <v>22506.099319342862</v>
      </c>
      <c r="Q22" s="152">
        <f t="shared" si="3"/>
        <v>22881.099319342862</v>
      </c>
      <c r="R22" s="152">
        <f t="shared" si="3"/>
        <v>23256.099319342862</v>
      </c>
      <c r="S22" s="152">
        <f t="shared" si="3"/>
        <v>23631.099319342862</v>
      </c>
      <c r="T22" s="152">
        <f t="shared" si="3"/>
        <v>24006.099319342862</v>
      </c>
      <c r="U22" s="152">
        <f t="shared" si="3"/>
        <v>24381.099319342862</v>
      </c>
      <c r="V22" s="152">
        <f t="shared" si="3"/>
        <v>19609.476286483179</v>
      </c>
      <c r="W22" s="152">
        <f t="shared" si="3"/>
        <v>14837.8532536235</v>
      </c>
      <c r="X22" s="152">
        <f t="shared" si="3"/>
        <v>15212.8532536235</v>
      </c>
      <c r="Y22" s="152">
        <f t="shared" si="3"/>
        <v>15587.853253623498</v>
      </c>
      <c r="Z22" s="152">
        <f t="shared" si="3"/>
        <v>11637.676626811746</v>
      </c>
      <c r="AA22" s="152">
        <f t="shared" si="3"/>
        <v>3749.9999999999982</v>
      </c>
      <c r="AB22" s="152">
        <f t="shared" si="3"/>
        <v>0</v>
      </c>
      <c r="AC22" s="152">
        <f t="shared" si="3"/>
        <v>0</v>
      </c>
      <c r="AD22" s="152">
        <f t="shared" si="3"/>
        <v>0</v>
      </c>
      <c r="AE22" s="152">
        <f t="shared" si="3"/>
        <v>0</v>
      </c>
      <c r="AF22" s="152">
        <f t="shared" si="3"/>
        <v>0</v>
      </c>
      <c r="AG22" s="152">
        <f t="shared" si="3"/>
        <v>0</v>
      </c>
      <c r="AH22" s="152">
        <f t="shared" si="3"/>
        <v>0</v>
      </c>
      <c r="AI22" s="152">
        <f t="shared" si="3"/>
        <v>0</v>
      </c>
      <c r="AJ22" s="152">
        <f t="shared" si="3"/>
        <v>0</v>
      </c>
    </row>
    <row r="23" spans="2:36" s="30" customFormat="1" ht="16">
      <c r="B23" s="35" t="s">
        <v>118</v>
      </c>
      <c r="C23" s="35"/>
      <c r="D23" s="35"/>
      <c r="E23" s="83" t="s">
        <v>0</v>
      </c>
      <c r="F23" s="35"/>
      <c r="G23" s="42">
        <f>G15+G17+G19+G21+G22</f>
        <v>2836347.099319343</v>
      </c>
      <c r="H23" s="42">
        <f t="shared" ref="H23:AJ23" si="4">H15+H17+H19+H21+H22</f>
        <v>2822636.0193193429</v>
      </c>
      <c r="I23" s="42">
        <f t="shared" si="4"/>
        <v>2808995.3697193433</v>
      </c>
      <c r="J23" s="42">
        <f t="shared" si="4"/>
        <v>2795424.7983673434</v>
      </c>
      <c r="K23" s="42">
        <f t="shared" si="4"/>
        <v>2781923.9548721034</v>
      </c>
      <c r="L23" s="42">
        <f t="shared" si="4"/>
        <v>2768492.4905943396</v>
      </c>
      <c r="M23" s="42">
        <f t="shared" si="4"/>
        <v>2755130.0586379645</v>
      </c>
      <c r="N23" s="42">
        <f t="shared" si="4"/>
        <v>2741836.3138413713</v>
      </c>
      <c r="O23" s="42">
        <f t="shared" si="4"/>
        <v>2728610.9127687612</v>
      </c>
      <c r="P23" s="42">
        <f t="shared" si="4"/>
        <v>2715453.5137015139</v>
      </c>
      <c r="Q23" s="42">
        <f t="shared" si="4"/>
        <v>2702363.776629603</v>
      </c>
      <c r="R23" s="42">
        <f t="shared" si="4"/>
        <v>2689341.3632430518</v>
      </c>
      <c r="S23" s="42">
        <f t="shared" si="4"/>
        <v>2676385.9369234331</v>
      </c>
      <c r="T23" s="42">
        <f t="shared" si="4"/>
        <v>2663497.1627354128</v>
      </c>
      <c r="U23" s="42">
        <f t="shared" si="4"/>
        <v>2650674.7074183323</v>
      </c>
      <c r="V23" s="42">
        <f t="shared" si="4"/>
        <v>2632771.6163449776</v>
      </c>
      <c r="W23" s="42">
        <f t="shared" si="4"/>
        <v>2614934.1826118254</v>
      </c>
      <c r="X23" s="42">
        <f t="shared" si="4"/>
        <v>2602308.7009650343</v>
      </c>
      <c r="Y23" s="42">
        <f t="shared" si="4"/>
        <v>2589748.2217264771</v>
      </c>
      <c r="Z23" s="42">
        <f t="shared" si="4"/>
        <v>2572927.2432573014</v>
      </c>
      <c r="AA23" s="42">
        <f t="shared" si="4"/>
        <v>3749.9999999999982</v>
      </c>
      <c r="AB23" s="42">
        <f t="shared" si="4"/>
        <v>0</v>
      </c>
      <c r="AC23" s="42">
        <f t="shared" si="4"/>
        <v>0</v>
      </c>
      <c r="AD23" s="42">
        <f t="shared" si="4"/>
        <v>0</v>
      </c>
      <c r="AE23" s="42">
        <f t="shared" si="4"/>
        <v>0</v>
      </c>
      <c r="AF23" s="42">
        <f t="shared" si="4"/>
        <v>0</v>
      </c>
      <c r="AG23" s="42">
        <f t="shared" si="4"/>
        <v>0</v>
      </c>
      <c r="AH23" s="42">
        <f t="shared" si="4"/>
        <v>0</v>
      </c>
      <c r="AI23" s="42">
        <f t="shared" si="4"/>
        <v>0</v>
      </c>
      <c r="AJ23" s="42">
        <f t="shared" si="4"/>
        <v>0</v>
      </c>
    </row>
    <row r="24" spans="2:36" s="30" customFormat="1" ht="16">
      <c r="E24" s="81"/>
    </row>
    <row r="25" spans="2:36" s="30" customFormat="1" ht="16">
      <c r="B25" s="35" t="s">
        <v>69</v>
      </c>
      <c r="C25" s="35"/>
      <c r="D25" s="35"/>
      <c r="E25" s="81"/>
    </row>
    <row r="26" spans="2:36" s="30" customFormat="1" ht="16">
      <c r="B26" s="30" t="s">
        <v>112</v>
      </c>
      <c r="E26" s="78"/>
      <c r="F26" s="33"/>
      <c r="G26" s="320">
        <v>1</v>
      </c>
      <c r="H26" s="85">
        <f>G26*(1+IF(G$2&lt;=Inputs!$G$30,Inputs!$G$29,Inputs!$G$31))</f>
        <v>1.02</v>
      </c>
      <c r="I26" s="85">
        <f>H26*(1+IF(H$2&lt;=Inputs!$G$30,Inputs!$G$29,Inputs!$G$31))</f>
        <v>1.0404</v>
      </c>
      <c r="J26" s="85">
        <f>I26*(1+IF(I$2&lt;=Inputs!$G$30,Inputs!$G$29,Inputs!$G$31))</f>
        <v>1.0612079999999999</v>
      </c>
      <c r="K26" s="85">
        <f>J26*(1+IF(J$2&lt;=Inputs!$G$30,Inputs!$G$29,Inputs!$G$31))</f>
        <v>1.08243216</v>
      </c>
      <c r="L26" s="85">
        <f>K26*(1+IF(K$2&lt;=Inputs!$G$30,Inputs!$G$29,Inputs!$G$31))</f>
        <v>1.1040808032</v>
      </c>
      <c r="M26" s="85">
        <f>L26*(1+IF(L$2&lt;=Inputs!$G$30,Inputs!$G$29,Inputs!$G$31))</f>
        <v>1.1261624192640001</v>
      </c>
      <c r="N26" s="85">
        <f>M26*(1+IF(M$2&lt;=Inputs!$G$30,Inputs!$G$29,Inputs!$G$31))</f>
        <v>1.14868566764928</v>
      </c>
      <c r="O26" s="85">
        <f>N26*(1+IF(N$2&lt;=Inputs!$G$30,Inputs!$G$29,Inputs!$G$31))</f>
        <v>1.1716593810022657</v>
      </c>
      <c r="P26" s="85">
        <f>O26*(1+IF(O$2&lt;=Inputs!$G$30,Inputs!$G$29,Inputs!$G$31))</f>
        <v>1.1950925686223111</v>
      </c>
      <c r="Q26" s="85">
        <f>P26*(1+IF(P$2&lt;=Inputs!$G$30,Inputs!$G$29,Inputs!$G$31))</f>
        <v>1.2189944199947573</v>
      </c>
      <c r="R26" s="85">
        <f>Q26*(1+IF(Q$2&lt;=Inputs!$G$30,Inputs!$G$29,Inputs!$G$31))</f>
        <v>1.2433743083946525</v>
      </c>
      <c r="S26" s="85">
        <f>R26*(1+IF(R$2&lt;=Inputs!$G$30,Inputs!$G$29,Inputs!$G$31))</f>
        <v>1.2682417945625455</v>
      </c>
      <c r="T26" s="85">
        <f>S26*(1+IF(S$2&lt;=Inputs!$G$30,Inputs!$G$29,Inputs!$G$31))</f>
        <v>1.2936066304537963</v>
      </c>
      <c r="U26" s="85">
        <f>T26*(1+IF(T$2&lt;=Inputs!$G$30,Inputs!$G$29,Inputs!$G$31))</f>
        <v>1.3194787630628724</v>
      </c>
      <c r="V26" s="85">
        <f>U26*(1+IF(U$2&lt;=Inputs!$G$30,Inputs!$G$29,Inputs!$G$31))</f>
        <v>1.3458683383241299</v>
      </c>
      <c r="W26" s="85">
        <f>V26*(1+IF(V$2&lt;=Inputs!$G$30,Inputs!$G$29,Inputs!$G$31))</f>
        <v>1.3727857050906125</v>
      </c>
      <c r="X26" s="85">
        <f>W26*(1+IF(W$2&lt;=Inputs!$G$30,Inputs!$G$29,Inputs!$G$31))</f>
        <v>1.4002414191924248</v>
      </c>
      <c r="Y26" s="85">
        <f>X26*(1+IF(X$2&lt;=Inputs!$G$30,Inputs!$G$29,Inputs!$G$31))</f>
        <v>1.4282462475762734</v>
      </c>
      <c r="Z26" s="85">
        <f>Y26*(1+IF(Y$2&lt;=Inputs!$G$30,Inputs!$G$29,Inputs!$G$31))</f>
        <v>1.4568111725277988</v>
      </c>
      <c r="AA26" s="85">
        <f>Z26*(1+IF(Z$2&lt;=Inputs!$G$30,Inputs!$G$29,Inputs!$G$31))</f>
        <v>1.4859473959783549</v>
      </c>
      <c r="AB26" s="85">
        <f>AA26*(1+IF(AA$2&lt;=Inputs!$G$30,Inputs!$G$29,Inputs!$G$31))</f>
        <v>1.5156663438979221</v>
      </c>
      <c r="AC26" s="85">
        <f>AB26*(1+IF(AB$2&lt;=Inputs!$G$30,Inputs!$G$29,Inputs!$G$31))</f>
        <v>1.5459796707758806</v>
      </c>
      <c r="AD26" s="85">
        <f>AC26*(1+IF(AC$2&lt;=Inputs!$G$30,Inputs!$G$29,Inputs!$G$31))</f>
        <v>1.5768992641913981</v>
      </c>
      <c r="AE26" s="85">
        <f>AD26*(1+IF(AD$2&lt;=Inputs!$G$30,Inputs!$G$29,Inputs!$G$31))</f>
        <v>1.6084372494752261</v>
      </c>
      <c r="AF26" s="85">
        <f>AE26*(1+IF(AE$2&lt;=Inputs!$G$30,Inputs!$G$29,Inputs!$G$31))</f>
        <v>1.6406059944647307</v>
      </c>
      <c r="AG26" s="85">
        <f>AF26*(1+IF(AF$2&lt;=Inputs!$G$30,Inputs!$G$29,Inputs!$G$31))</f>
        <v>1.6734181143540252</v>
      </c>
      <c r="AH26" s="85">
        <f>AG26*(1+IF(AG$2&lt;=Inputs!$G$30,Inputs!$G$29,Inputs!$G$31))</f>
        <v>1.7068864766411058</v>
      </c>
      <c r="AI26" s="85">
        <f>AH26*(1+IF(AH$2&lt;=Inputs!$G$30,Inputs!$G$29,Inputs!$G$31))</f>
        <v>1.7410242061739281</v>
      </c>
      <c r="AJ26" s="85">
        <f>AI26*(1+IF(AI$2&lt;=Inputs!$G$30,Inputs!$G$29,Inputs!$G$31))</f>
        <v>1.7758446902974065</v>
      </c>
    </row>
    <row r="27" spans="2:36" s="30" customFormat="1" ht="16">
      <c r="E27" s="78"/>
      <c r="F27" s="33"/>
      <c r="G27" s="90"/>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row>
    <row r="28" spans="2:36" s="30" customFormat="1" ht="16">
      <c r="B28" s="30" t="s">
        <v>113</v>
      </c>
      <c r="E28" s="78" t="s">
        <v>0</v>
      </c>
      <c r="F28" s="33"/>
      <c r="G28" s="86">
        <f>-IF(G$2&gt;Inputs!$G$11,0,Inputs!$G$27*Inputs!$G$7*G$26)</f>
        <v>0</v>
      </c>
      <c r="H28" s="86">
        <f>-IF(H$2&gt;Inputs!$G$11,0,Inputs!$G$27*Inputs!$G$7*H$26)</f>
        <v>0</v>
      </c>
      <c r="I28" s="86">
        <f>-IF(I$2&gt;Inputs!$G$11,0,Inputs!$G$27*Inputs!$G$7*I$26)</f>
        <v>0</v>
      </c>
      <c r="J28" s="86">
        <f>-IF(J$2&gt;Inputs!$G$11,0,Inputs!$G$27*Inputs!$G$7*J$26)</f>
        <v>0</v>
      </c>
      <c r="K28" s="86">
        <f>-IF(K$2&gt;Inputs!$G$11,0,Inputs!$G$27*Inputs!$G$7*K$26)</f>
        <v>0</v>
      </c>
      <c r="L28" s="86">
        <f>-IF(L$2&gt;Inputs!$G$11,0,Inputs!$G$27*Inputs!$G$7*L$26)</f>
        <v>0</v>
      </c>
      <c r="M28" s="86">
        <f>-IF(M$2&gt;Inputs!$G$11,0,Inputs!$G$27*Inputs!$G$7*M$26)</f>
        <v>0</v>
      </c>
      <c r="N28" s="86">
        <f>-IF(N$2&gt;Inputs!$G$11,0,Inputs!$G$27*Inputs!$G$7*N$26)</f>
        <v>0</v>
      </c>
      <c r="O28" s="86">
        <f>-IF(O$2&gt;Inputs!$G$11,0,Inputs!$G$27*Inputs!$G$7*O$26)</f>
        <v>0</v>
      </c>
      <c r="P28" s="86">
        <f>-IF(P$2&gt;Inputs!$G$11,0,Inputs!$G$27*Inputs!$G$7*P$26)</f>
        <v>0</v>
      </c>
      <c r="Q28" s="86">
        <f>-IF(Q$2&gt;Inputs!$G$11,0,Inputs!$G$27*Inputs!$G$7*Q$26)</f>
        <v>0</v>
      </c>
      <c r="R28" s="86">
        <f>-IF(R$2&gt;Inputs!$G$11,0,Inputs!$G$27*Inputs!$G$7*R$26)</f>
        <v>0</v>
      </c>
      <c r="S28" s="86">
        <f>-IF(S$2&gt;Inputs!$G$11,0,Inputs!$G$27*Inputs!$G$7*S$26)</f>
        <v>0</v>
      </c>
      <c r="T28" s="86">
        <f>-IF(T$2&gt;Inputs!$G$11,0,Inputs!$G$27*Inputs!$G$7*T$26)</f>
        <v>0</v>
      </c>
      <c r="U28" s="86">
        <f>-IF(U$2&gt;Inputs!$G$11,0,Inputs!$G$27*Inputs!$G$7*U$26)</f>
        <v>0</v>
      </c>
      <c r="V28" s="86">
        <f>-IF(V$2&gt;Inputs!$G$11,0,Inputs!$G$27*Inputs!$G$7*V$26)</f>
        <v>0</v>
      </c>
      <c r="W28" s="86">
        <f>-IF(W$2&gt;Inputs!$G$11,0,Inputs!$G$27*Inputs!$G$7*W$26)</f>
        <v>0</v>
      </c>
      <c r="X28" s="86">
        <f>-IF(X$2&gt;Inputs!$G$11,0,Inputs!$G$27*Inputs!$G$7*X$26)</f>
        <v>0</v>
      </c>
      <c r="Y28" s="86">
        <f>-IF(Y$2&gt;Inputs!$G$11,0,Inputs!$G$27*Inputs!$G$7*Y$26)</f>
        <v>0</v>
      </c>
      <c r="Z28" s="86">
        <f>-IF(Z$2&gt;Inputs!$G$11,0,Inputs!$G$27*Inputs!$G$7*Z$26)</f>
        <v>0</v>
      </c>
      <c r="AA28" s="86">
        <f>-IF(AA$2&gt;Inputs!$G$11,0,Inputs!$G$27*Inputs!$G$7*AA$26)</f>
        <v>0</v>
      </c>
      <c r="AB28" s="86">
        <f>-IF(AB$2&gt;Inputs!$G$11,0,Inputs!$G$27*Inputs!$G$7*AB$26)</f>
        <v>0</v>
      </c>
      <c r="AC28" s="86">
        <f>-IF(AC$2&gt;Inputs!$G$11,0,Inputs!$G$27*Inputs!$G$7*AC$26)</f>
        <v>0</v>
      </c>
      <c r="AD28" s="86">
        <f>-IF(AD$2&gt;Inputs!$G$11,0,Inputs!$G$27*Inputs!$G$7*AD$26)</f>
        <v>0</v>
      </c>
      <c r="AE28" s="86">
        <f>-IF(AE$2&gt;Inputs!$G$11,0,Inputs!$G$27*Inputs!$G$7*AE$26)</f>
        <v>0</v>
      </c>
      <c r="AF28" s="86">
        <f>-IF(AF$2&gt;Inputs!$G$11,0,Inputs!$G$27*Inputs!$G$7*AF$26)</f>
        <v>0</v>
      </c>
      <c r="AG28" s="86">
        <f>-IF(AG$2&gt;Inputs!$G$11,0,Inputs!$G$27*Inputs!$G$7*AG$26)</f>
        <v>0</v>
      </c>
      <c r="AH28" s="86">
        <f>-IF(AH$2&gt;Inputs!$G$11,0,Inputs!$G$27*Inputs!$G$7*AH$26)</f>
        <v>0</v>
      </c>
      <c r="AI28" s="86">
        <f>-IF(AI$2&gt;Inputs!$G$11,0,Inputs!$G$27*Inputs!$G$7*AI$26)</f>
        <v>0</v>
      </c>
      <c r="AJ28" s="86">
        <f>-IF(AJ$2&gt;Inputs!$G$11,0,Inputs!$G$27*Inputs!$G$7*AJ$26)</f>
        <v>0</v>
      </c>
    </row>
    <row r="29" spans="2:36" s="30" customFormat="1" ht="16">
      <c r="B29" s="30" t="s">
        <v>114</v>
      </c>
      <c r="E29" s="78" t="s">
        <v>0</v>
      </c>
      <c r="G29" s="86">
        <f>-IF(G$2&gt;Inputs!$G$11,0,Inputs!$G$28/100*G$5*G$26)</f>
        <v>-700800</v>
      </c>
      <c r="H29" s="86">
        <f>-IF(H$2&gt;Inputs!$G$11,0,Inputs!$G$28/100*H$5*H$26)</f>
        <v>-711241.92</v>
      </c>
      <c r="I29" s="86">
        <f>-IF(I$2&gt;Inputs!$G$11,0,Inputs!$G$28/100*I$5*I$26)</f>
        <v>-721839.42460799997</v>
      </c>
      <c r="J29" s="86">
        <f>-IF(J$2&gt;Inputs!$G$11,0,Inputs!$G$28/100*J$5*J$26)</f>
        <v>-732594.83203465922</v>
      </c>
      <c r="K29" s="86">
        <f>-IF(K$2&gt;Inputs!$G$11,0,Inputs!$G$28/100*K$5*K$26)</f>
        <v>-743510.49503197568</v>
      </c>
      <c r="L29" s="86">
        <f>-IF(L$2&gt;Inputs!$G$11,0,Inputs!$G$28/100*L$5*L$26)</f>
        <v>-754588.80140795209</v>
      </c>
      <c r="M29" s="86">
        <f>-IF(M$2&gt;Inputs!$G$11,0,Inputs!$G$28/100*M$5*M$26)</f>
        <v>-765832.17454893072</v>
      </c>
      <c r="N29" s="86">
        <f>-IF(N$2&gt;Inputs!$G$11,0,Inputs!$G$28/100*N$5*N$26)</f>
        <v>-777243.07394970977</v>
      </c>
      <c r="O29" s="86">
        <f>-IF(O$2&gt;Inputs!$G$11,0,Inputs!$G$28/100*O$5*O$26)</f>
        <v>-788823.99575156043</v>
      </c>
      <c r="P29" s="86">
        <f>-IF(P$2&gt;Inputs!$G$11,0,Inputs!$G$28/100*P$5*P$26)</f>
        <v>-800577.47328825877</v>
      </c>
      <c r="Q29" s="86">
        <f>-IF(Q$2&gt;Inputs!$G$11,0,Inputs!$G$28/100*Q$5*Q$26)</f>
        <v>-812506.07764025382</v>
      </c>
      <c r="R29" s="86">
        <f>-IF(R$2&gt;Inputs!$G$11,0,Inputs!$G$28/100*R$5*R$26)</f>
        <v>-824612.41819709342</v>
      </c>
      <c r="S29" s="86">
        <f>-IF(S$2&gt;Inputs!$G$11,0,Inputs!$G$28/100*S$5*S$26)</f>
        <v>-836899.14322823007</v>
      </c>
      <c r="T29" s="86">
        <f>-IF(T$2&gt;Inputs!$G$11,0,Inputs!$G$28/100*T$5*T$26)</f>
        <v>-849368.94046233082</v>
      </c>
      <c r="U29" s="86">
        <f>-IF(U$2&gt;Inputs!$G$11,0,Inputs!$G$28/100*U$5*U$26)</f>
        <v>-862024.53767521959</v>
      </c>
      <c r="V29" s="86">
        <f>-IF(V$2&gt;Inputs!$G$11,0,Inputs!$G$28/100*V$5*V$26)</f>
        <v>-874868.70328658039</v>
      </c>
      <c r="W29" s="86">
        <f>-IF(W$2&gt;Inputs!$G$11,0,Inputs!$G$28/100*W$5*W$26)</f>
        <v>-887904.24696555035</v>
      </c>
      <c r="X29" s="86">
        <f>-IF(X$2&gt;Inputs!$G$11,0,Inputs!$G$28/100*X$5*X$26)</f>
        <v>-901134.02024533716</v>
      </c>
      <c r="Y29" s="86">
        <f>-IF(Y$2&gt;Inputs!$G$11,0,Inputs!$G$28/100*Y$5*Y$26)</f>
        <v>-914560.91714699275</v>
      </c>
      <c r="Z29" s="86">
        <f>-IF(Z$2&gt;Inputs!$G$11,0,Inputs!$G$28/100*Z$5*Z$26)</f>
        <v>-928187.87481248286</v>
      </c>
      <c r="AA29" s="86">
        <f>-IF(AA$2&gt;Inputs!$G$11,0,Inputs!$G$28/100*AA$5*AA$26)</f>
        <v>0</v>
      </c>
      <c r="AB29" s="86">
        <f>-IF(AB$2&gt;Inputs!$G$11,0,Inputs!$G$28/100*AB$5*AB$26)</f>
        <v>0</v>
      </c>
      <c r="AC29" s="86">
        <f>-IF(AC$2&gt;Inputs!$G$11,0,Inputs!$G$28/100*AC$5*AC$26)</f>
        <v>0</v>
      </c>
      <c r="AD29" s="86">
        <f>-IF(AD$2&gt;Inputs!$G$11,0,Inputs!$G$28/100*AD$5*AD$26)</f>
        <v>0</v>
      </c>
      <c r="AE29" s="86">
        <f>-IF(AE$2&gt;Inputs!$G$11,0,Inputs!$G$28/100*AE$5*AE$26)</f>
        <v>0</v>
      </c>
      <c r="AF29" s="86">
        <f>-IF(AF$2&gt;Inputs!$G$11,0,Inputs!$G$28/100*AF$5*AF$26)</f>
        <v>0</v>
      </c>
      <c r="AG29" s="86">
        <f>-IF(AG$2&gt;Inputs!$G$11,0,Inputs!$G$28/100*AG$5*AG$26)</f>
        <v>0</v>
      </c>
      <c r="AH29" s="86">
        <f>-IF(AH$2&gt;Inputs!$G$11,0,Inputs!$G$28/100*AH$5*AH$26)</f>
        <v>0</v>
      </c>
      <c r="AI29" s="86">
        <f>-IF(AI$2&gt;Inputs!$G$11,0,Inputs!$G$28/100*AI$5*AI$26)</f>
        <v>0</v>
      </c>
      <c r="AJ29" s="86">
        <f>-IF(AJ$2&gt;Inputs!$G$11,0,Inputs!$G$28/100*AJ$5*AJ$26)</f>
        <v>0</v>
      </c>
    </row>
    <row r="30" spans="2:36" s="30" customFormat="1" ht="16">
      <c r="B30" s="30" t="s">
        <v>71</v>
      </c>
      <c r="E30" s="78" t="s">
        <v>0</v>
      </c>
      <c r="G30" s="86">
        <f>-IF(Inputs!$G$26="simple",0,IF(G$2&gt;Inputs!$G$11,0,Inputs!$G$33*G$26))</f>
        <v>-100000</v>
      </c>
      <c r="H30" s="86">
        <f>-IF(Inputs!$G$26="simple",0,IF(H$2&gt;Inputs!$G$11,0,Inputs!$G$33*H$26))</f>
        <v>-102000</v>
      </c>
      <c r="I30" s="86">
        <f>-IF(Inputs!$G$26="simple",0,IF(I$2&gt;Inputs!$G$11,0,Inputs!$G$33*I$26))</f>
        <v>-104040</v>
      </c>
      <c r="J30" s="86">
        <f>-IF(Inputs!$G$26="simple",0,IF(J$2&gt;Inputs!$G$11,0,Inputs!$G$33*J$26))</f>
        <v>-106120.79999999999</v>
      </c>
      <c r="K30" s="86">
        <f>-IF(Inputs!$G$26="simple",0,IF(K$2&gt;Inputs!$G$11,0,Inputs!$G$33*K$26))</f>
        <v>-108243.216</v>
      </c>
      <c r="L30" s="86">
        <f>-IF(Inputs!$G$26="simple",0,IF(L$2&gt;Inputs!$G$11,0,Inputs!$G$33*L$26))</f>
        <v>-110408.08032000001</v>
      </c>
      <c r="M30" s="86">
        <f>-IF(Inputs!$G$26="simple",0,IF(M$2&gt;Inputs!$G$11,0,Inputs!$G$33*M$26))</f>
        <v>-112616.24192640001</v>
      </c>
      <c r="N30" s="86">
        <f>-IF(Inputs!$G$26="simple",0,IF(N$2&gt;Inputs!$G$11,0,Inputs!$G$33*N$26))</f>
        <v>-114868.56676492801</v>
      </c>
      <c r="O30" s="86">
        <f>-IF(Inputs!$G$26="simple",0,IF(O$2&gt;Inputs!$G$11,0,Inputs!$G$33*O$26))</f>
        <v>-117165.93810022657</v>
      </c>
      <c r="P30" s="86">
        <f>-IF(Inputs!$G$26="simple",0,IF(P$2&gt;Inputs!$G$11,0,Inputs!$G$33*P$26))</f>
        <v>-119509.25686223111</v>
      </c>
      <c r="Q30" s="86">
        <f>-IF(Inputs!$G$26="simple",0,IF(Q$2&gt;Inputs!$G$11,0,Inputs!$G$33*Q$26))</f>
        <v>-121899.44199947573</v>
      </c>
      <c r="R30" s="86">
        <f>-IF(Inputs!$G$26="simple",0,IF(R$2&gt;Inputs!$G$11,0,Inputs!$G$33*R$26))</f>
        <v>-124337.43083946525</v>
      </c>
      <c r="S30" s="86">
        <f>-IF(Inputs!$G$26="simple",0,IF(S$2&gt;Inputs!$G$11,0,Inputs!$G$33*S$26))</f>
        <v>-126824.17945625455</v>
      </c>
      <c r="T30" s="86">
        <f>-IF(Inputs!$G$26="simple",0,IF(T$2&gt;Inputs!$G$11,0,Inputs!$G$33*T$26))</f>
        <v>-129360.66304537962</v>
      </c>
      <c r="U30" s="86">
        <f>-IF(Inputs!$G$26="simple",0,IF(U$2&gt;Inputs!$G$11,0,Inputs!$G$33*U$26))</f>
        <v>-131947.87630628725</v>
      </c>
      <c r="V30" s="86">
        <f>-IF(Inputs!$G$26="simple",0,IF(V$2&gt;Inputs!$G$11,0,Inputs!$G$33*V$26))</f>
        <v>-134586.83383241299</v>
      </c>
      <c r="W30" s="86">
        <f>-IF(Inputs!$G$26="simple",0,IF(W$2&gt;Inputs!$G$11,0,Inputs!$G$33*W$26))</f>
        <v>-137278.57050906125</v>
      </c>
      <c r="X30" s="86">
        <f>-IF(Inputs!$G$26="simple",0,IF(X$2&gt;Inputs!$G$11,0,Inputs!$G$33*X$26))</f>
        <v>-140024.14191924248</v>
      </c>
      <c r="Y30" s="86">
        <f>-IF(Inputs!$G$26="simple",0,IF(Y$2&gt;Inputs!$G$11,0,Inputs!$G$33*Y$26))</f>
        <v>-142824.62475762735</v>
      </c>
      <c r="Z30" s="86">
        <f>-IF(Inputs!$G$26="simple",0,IF(Z$2&gt;Inputs!$G$11,0,Inputs!$G$33*Z$26))</f>
        <v>-145681.11725277989</v>
      </c>
      <c r="AA30" s="86">
        <f>-IF(Inputs!$G$26="simple",0,IF(AA$2&gt;Inputs!$G$11,0,Inputs!$G$33*AA$26))</f>
        <v>0</v>
      </c>
      <c r="AB30" s="86">
        <f>-IF(Inputs!$G$26="simple",0,IF(AB$2&gt;Inputs!$G$11,0,Inputs!$G$33*AB$26))</f>
        <v>0</v>
      </c>
      <c r="AC30" s="86">
        <f>-IF(Inputs!$G$26="simple",0,IF(AC$2&gt;Inputs!$G$11,0,Inputs!$G$33*AC$26))</f>
        <v>0</v>
      </c>
      <c r="AD30" s="86">
        <f>-IF(Inputs!$G$26="simple",0,IF(AD$2&gt;Inputs!$G$11,0,Inputs!$G$33*AD$26))</f>
        <v>0</v>
      </c>
      <c r="AE30" s="86">
        <f>-IF(Inputs!$G$26="simple",0,IF(AE$2&gt;Inputs!$G$11,0,Inputs!$G$33*AE$26))</f>
        <v>0</v>
      </c>
      <c r="AF30" s="86">
        <f>-IF(Inputs!$G$26="simple",0,IF(AF$2&gt;Inputs!$G$11,0,Inputs!$G$33*AF$26))</f>
        <v>0</v>
      </c>
      <c r="AG30" s="86">
        <f>-IF(Inputs!$G$26="simple",0,IF(AG$2&gt;Inputs!$G$11,0,Inputs!$G$33*AG$26))</f>
        <v>0</v>
      </c>
      <c r="AH30" s="86">
        <f>-IF(Inputs!$G$26="simple",0,IF(AH$2&gt;Inputs!$G$11,0,Inputs!$G$33*AH$26))</f>
        <v>0</v>
      </c>
      <c r="AI30" s="86">
        <f>-IF(Inputs!$G$26="simple",0,IF(AI$2&gt;Inputs!$G$11,0,Inputs!$G$33*AI$26))</f>
        <v>0</v>
      </c>
      <c r="AJ30" s="86">
        <f>-IF(Inputs!$G$26="simple",0,IF(AJ$2&gt;Inputs!$G$11,0,Inputs!$G$33*AJ$26))</f>
        <v>0</v>
      </c>
    </row>
    <row r="31" spans="2:36" s="30" customFormat="1" ht="16">
      <c r="B31" s="30" t="s">
        <v>70</v>
      </c>
      <c r="E31" s="78" t="s">
        <v>0</v>
      </c>
      <c r="G31" s="86">
        <f>-IF(Inputs!$G$26="simple",0,IF(G$2&gt;Inputs!$G$11,0,Inputs!$G$34*G$26))</f>
        <v>-30000</v>
      </c>
      <c r="H31" s="86">
        <f>-IF(Inputs!$G$26="simple",0,IF(H$2&gt;Inputs!$G$11,0,Inputs!$G$34*H$26))</f>
        <v>-30600</v>
      </c>
      <c r="I31" s="86">
        <f>-IF(Inputs!$G$26="simple",0,IF(I$2&gt;Inputs!$G$11,0,Inputs!$G$34*I$26))</f>
        <v>-31212</v>
      </c>
      <c r="J31" s="86">
        <f>-IF(Inputs!$G$26="simple",0,IF(J$2&gt;Inputs!$G$11,0,Inputs!$G$34*J$26))</f>
        <v>-31836.239999999998</v>
      </c>
      <c r="K31" s="86">
        <f>-IF(Inputs!$G$26="simple",0,IF(K$2&gt;Inputs!$G$11,0,Inputs!$G$34*K$26))</f>
        <v>-32472.964799999998</v>
      </c>
      <c r="L31" s="86">
        <f>-IF(Inputs!$G$26="simple",0,IF(L$2&gt;Inputs!$G$11,0,Inputs!$G$34*L$26))</f>
        <v>-33122.424096000002</v>
      </c>
      <c r="M31" s="86">
        <f>-IF(Inputs!$G$26="simple",0,IF(M$2&gt;Inputs!$G$11,0,Inputs!$G$34*M$26))</f>
        <v>-33784.872577920003</v>
      </c>
      <c r="N31" s="86">
        <f>-IF(Inputs!$G$26="simple",0,IF(N$2&gt;Inputs!$G$11,0,Inputs!$G$34*N$26))</f>
        <v>-34460.570029478404</v>
      </c>
      <c r="O31" s="86">
        <f>-IF(Inputs!$G$26="simple",0,IF(O$2&gt;Inputs!$G$11,0,Inputs!$G$34*O$26))</f>
        <v>-35149.781430067975</v>
      </c>
      <c r="P31" s="86">
        <f>-IF(Inputs!$G$26="simple",0,IF(P$2&gt;Inputs!$G$11,0,Inputs!$G$34*P$26))</f>
        <v>-35852.77705866933</v>
      </c>
      <c r="Q31" s="86">
        <f>-IF(Inputs!$G$26="simple",0,IF(Q$2&gt;Inputs!$G$11,0,Inputs!$G$34*Q$26))</f>
        <v>-36569.832599842717</v>
      </c>
      <c r="R31" s="86">
        <f>-IF(Inputs!$G$26="simple",0,IF(R$2&gt;Inputs!$G$11,0,Inputs!$G$34*R$26))</f>
        <v>-37301.229251839577</v>
      </c>
      <c r="S31" s="86">
        <f>-IF(Inputs!$G$26="simple",0,IF(S$2&gt;Inputs!$G$11,0,Inputs!$G$34*S$26))</f>
        <v>-38047.253836876363</v>
      </c>
      <c r="T31" s="86">
        <f>-IF(Inputs!$G$26="simple",0,IF(T$2&gt;Inputs!$G$11,0,Inputs!$G$34*T$26))</f>
        <v>-38808.198913613887</v>
      </c>
      <c r="U31" s="86">
        <f>-IF(Inputs!$G$26="simple",0,IF(U$2&gt;Inputs!$G$11,0,Inputs!$G$34*U$26))</f>
        <v>-39584.362891886172</v>
      </c>
      <c r="V31" s="86">
        <f>-IF(Inputs!$G$26="simple",0,IF(V$2&gt;Inputs!$G$11,0,Inputs!$G$34*V$26))</f>
        <v>-40376.050149723895</v>
      </c>
      <c r="W31" s="86">
        <f>-IF(Inputs!$G$26="simple",0,IF(W$2&gt;Inputs!$G$11,0,Inputs!$G$34*W$26))</f>
        <v>-41183.571152718374</v>
      </c>
      <c r="X31" s="86">
        <f>-IF(Inputs!$G$26="simple",0,IF(X$2&gt;Inputs!$G$11,0,Inputs!$G$34*X$26))</f>
        <v>-42007.242575772747</v>
      </c>
      <c r="Y31" s="86">
        <f>-IF(Inputs!$G$26="simple",0,IF(Y$2&gt;Inputs!$G$11,0,Inputs!$G$34*Y$26))</f>
        <v>-42847.387427288202</v>
      </c>
      <c r="Z31" s="86">
        <f>-IF(Inputs!$G$26="simple",0,IF(Z$2&gt;Inputs!$G$11,0,Inputs!$G$34*Z$26))</f>
        <v>-43704.335175833963</v>
      </c>
      <c r="AA31" s="86">
        <f>-IF(Inputs!$G$26="simple",0,IF(AA$2&gt;Inputs!$G$11,0,Inputs!$G$34*AA$26))</f>
        <v>0</v>
      </c>
      <c r="AB31" s="86">
        <f>-IF(Inputs!$G$26="simple",0,IF(AB$2&gt;Inputs!$G$11,0,Inputs!$G$34*AB$26))</f>
        <v>0</v>
      </c>
      <c r="AC31" s="86">
        <f>-IF(Inputs!$G$26="simple",0,IF(AC$2&gt;Inputs!$G$11,0,Inputs!$G$34*AC$26))</f>
        <v>0</v>
      </c>
      <c r="AD31" s="86">
        <f>-IF(Inputs!$G$26="simple",0,IF(AD$2&gt;Inputs!$G$11,0,Inputs!$G$34*AD$26))</f>
        <v>0</v>
      </c>
      <c r="AE31" s="86">
        <f>-IF(Inputs!$G$26="simple",0,IF(AE$2&gt;Inputs!$G$11,0,Inputs!$G$34*AE$26))</f>
        <v>0</v>
      </c>
      <c r="AF31" s="86">
        <f>-IF(Inputs!$G$26="simple",0,IF(AF$2&gt;Inputs!$G$11,0,Inputs!$G$34*AF$26))</f>
        <v>0</v>
      </c>
      <c r="AG31" s="86">
        <f>-IF(Inputs!$G$26="simple",0,IF(AG$2&gt;Inputs!$G$11,0,Inputs!$G$34*AG$26))</f>
        <v>0</v>
      </c>
      <c r="AH31" s="86">
        <f>-IF(Inputs!$G$26="simple",0,IF(AH$2&gt;Inputs!$G$11,0,Inputs!$G$34*AH$26))</f>
        <v>0</v>
      </c>
      <c r="AI31" s="86">
        <f>-IF(Inputs!$G$26="simple",0,IF(AI$2&gt;Inputs!$G$11,0,Inputs!$G$34*AI$26))</f>
        <v>0</v>
      </c>
      <c r="AJ31" s="86">
        <f>-IF(Inputs!$G$26="simple",0,IF(AJ$2&gt;Inputs!$G$11,0,Inputs!$G$34*AJ$26))</f>
        <v>0</v>
      </c>
    </row>
    <row r="32" spans="2:36" s="30" customFormat="1" ht="16">
      <c r="B32" s="30" t="s">
        <v>115</v>
      </c>
      <c r="E32" s="78" t="s">
        <v>0</v>
      </c>
      <c r="G32" s="86">
        <f>IF(Inputs!$G$26="simple",0,IF(G$2&gt;Inputs!$G$11,0,-Inputs!$G$35))</f>
        <v>-75000</v>
      </c>
      <c r="H32" s="86">
        <f>IF(Inputs!$G$26="simple",0,IF(H$2&gt;Inputs!$G$11,0,G32*(1+Inputs!$G$36)))</f>
        <v>-75000</v>
      </c>
      <c r="I32" s="86">
        <f>IF(Inputs!$G$26="simple",0,IF(I$2&gt;Inputs!$G$11,0,H32*(1+Inputs!$G$36)))</f>
        <v>-75000</v>
      </c>
      <c r="J32" s="86">
        <f>IF(Inputs!$G$26="simple",0,IF(J$2&gt;Inputs!$G$11,0,I32*(1+Inputs!$G$36)))</f>
        <v>-75000</v>
      </c>
      <c r="K32" s="86">
        <f>IF(Inputs!$G$26="simple",0,IF(K$2&gt;Inputs!$G$11,0,J32*(1+Inputs!$G$36)))</f>
        <v>-75000</v>
      </c>
      <c r="L32" s="86">
        <f>IF(Inputs!$G$26="simple",0,IF(L$2&gt;Inputs!$G$11,0,K32*(1+Inputs!$G$36)))</f>
        <v>-75000</v>
      </c>
      <c r="M32" s="86">
        <f>IF(Inputs!$G$26="simple",0,IF(M$2&gt;Inputs!$G$11,0,L32*(1+Inputs!$G$36)))</f>
        <v>-75000</v>
      </c>
      <c r="N32" s="86">
        <f>IF(Inputs!$G$26="simple",0,IF(N$2&gt;Inputs!$G$11,0,M32*(1+Inputs!$G$36)))</f>
        <v>-75000</v>
      </c>
      <c r="O32" s="86">
        <f>IF(Inputs!$G$26="simple",0,IF(O$2&gt;Inputs!$G$11,0,N32*(1+Inputs!$G$36)))</f>
        <v>-75000</v>
      </c>
      <c r="P32" s="86">
        <f>IF(Inputs!$G$26="simple",0,IF(P$2&gt;Inputs!$G$11,0,O32*(1+Inputs!$G$36)))</f>
        <v>-75000</v>
      </c>
      <c r="Q32" s="86">
        <f>IF(Inputs!$G$26="simple",0,IF(Q$2&gt;Inputs!$G$11,0,P32*(1+Inputs!$G$36)))</f>
        <v>-75000</v>
      </c>
      <c r="R32" s="86">
        <f>IF(Inputs!$G$26="simple",0,IF(R$2&gt;Inputs!$G$11,0,Q32*(1+Inputs!$G$36)))</f>
        <v>-75000</v>
      </c>
      <c r="S32" s="86">
        <f>IF(Inputs!$G$26="simple",0,IF(S$2&gt;Inputs!$G$11,0,R32*(1+Inputs!$G$36)))</f>
        <v>-75000</v>
      </c>
      <c r="T32" s="86">
        <f>IF(Inputs!$G$26="simple",0,IF(T$2&gt;Inputs!$G$11,0,S32*(1+Inputs!$G$36)))</f>
        <v>-75000</v>
      </c>
      <c r="U32" s="86">
        <f>IF(Inputs!$G$26="simple",0,IF(U$2&gt;Inputs!$G$11,0,T32*(1+Inputs!$G$36)))</f>
        <v>-75000</v>
      </c>
      <c r="V32" s="86">
        <f>IF(Inputs!$G$26="simple",0,IF(V$2&gt;Inputs!$G$11,0,U32*(1+Inputs!$G$36)))</f>
        <v>-75000</v>
      </c>
      <c r="W32" s="86">
        <f>IF(Inputs!$G$26="simple",0,IF(W$2&gt;Inputs!$G$11,0,V32*(1+Inputs!$G$36)))</f>
        <v>-75000</v>
      </c>
      <c r="X32" s="86">
        <f>IF(Inputs!$G$26="simple",0,IF(X$2&gt;Inputs!$G$11,0,W32*(1+Inputs!$G$36)))</f>
        <v>-75000</v>
      </c>
      <c r="Y32" s="86">
        <f>IF(Inputs!$G$26="simple",0,IF(Y$2&gt;Inputs!$G$11,0,X32*(1+Inputs!$G$36)))</f>
        <v>-75000</v>
      </c>
      <c r="Z32" s="86">
        <f>IF(Inputs!$G$26="simple",0,IF(Z$2&gt;Inputs!$G$11,0,Y32*(1+Inputs!$G$36)))</f>
        <v>-75000</v>
      </c>
      <c r="AA32" s="86">
        <f>IF(Inputs!$G$26="simple",0,IF(AA$2&gt;Inputs!$G$11,0,Z32*(1+Inputs!$G$36)))</f>
        <v>0</v>
      </c>
      <c r="AB32" s="86">
        <f>IF(Inputs!$G$26="simple",0,IF(AB$2&gt;Inputs!$G$11,0,AA32*(1+Inputs!$G$36)))</f>
        <v>0</v>
      </c>
      <c r="AC32" s="86">
        <f>IF(Inputs!$G$26="simple",0,IF(AC$2&gt;Inputs!$G$11,0,AB32*(1+Inputs!$G$36)))</f>
        <v>0</v>
      </c>
      <c r="AD32" s="86">
        <f>IF(Inputs!$G$26="simple",0,IF(AD$2&gt;Inputs!$G$11,0,AC32*(1+Inputs!$G$36)))</f>
        <v>0</v>
      </c>
      <c r="AE32" s="86">
        <f>IF(Inputs!$G$26="simple",0,IF(AE$2&gt;Inputs!$G$11,0,AD32*(1+Inputs!$G$36)))</f>
        <v>0</v>
      </c>
      <c r="AF32" s="86">
        <f>IF(Inputs!$G$26="simple",0,IF(AF$2&gt;Inputs!$G$11,0,AE32*(1+Inputs!$G$36)))</f>
        <v>0</v>
      </c>
      <c r="AG32" s="86">
        <f>IF(Inputs!$G$26="simple",0,IF(AG$2&gt;Inputs!$G$11,0,AF32*(1+Inputs!$G$36)))</f>
        <v>0</v>
      </c>
      <c r="AH32" s="86">
        <f>IF(Inputs!$G$26="simple",0,IF(AH$2&gt;Inputs!$G$11,0,AG32*(1+Inputs!$G$36)))</f>
        <v>0</v>
      </c>
      <c r="AI32" s="86">
        <f>IF(Inputs!$G$26="simple",0,IF(AI$2&gt;Inputs!$G$11,0,AH32*(1+Inputs!$G$36)))</f>
        <v>0</v>
      </c>
      <c r="AJ32" s="86">
        <f>IF(Inputs!$G$26="simple",0,IF(AJ$2&gt;Inputs!$G$11,0,AI32*(1+Inputs!$G$36)))</f>
        <v>0</v>
      </c>
    </row>
    <row r="33" spans="2:36" s="30" customFormat="1" ht="16">
      <c r="B33" s="30" t="s">
        <v>361</v>
      </c>
      <c r="E33" s="78" t="s">
        <v>0</v>
      </c>
      <c r="G33" s="86">
        <f>IF(Inputs!$G$26="simple",0,IF(G$2&gt;Inputs!$G$11,0,-Inputs!$G$37*G$26))</f>
        <v>-25000</v>
      </c>
      <c r="H33" s="86">
        <f>IF(Inputs!$G$26="simple",0,IF(H$2&gt;Inputs!$G$11,0,-Inputs!$G$37*H$26))</f>
        <v>-25500</v>
      </c>
      <c r="I33" s="86">
        <f>IF(Inputs!$G$26="simple",0,IF(I$2&gt;Inputs!$G$11,0,-Inputs!$G$37*I$26))</f>
        <v>-26010</v>
      </c>
      <c r="J33" s="86">
        <f>IF(Inputs!$G$26="simple",0,IF(J$2&gt;Inputs!$G$11,0,-Inputs!$G$37*J$26))</f>
        <v>-26530.199999999997</v>
      </c>
      <c r="K33" s="86">
        <f>IF(Inputs!$G$26="simple",0,IF(K$2&gt;Inputs!$G$11,0,-Inputs!$G$37*K$26))</f>
        <v>-27060.804</v>
      </c>
      <c r="L33" s="86">
        <f>IF(Inputs!$G$26="simple",0,IF(L$2&gt;Inputs!$G$11,0,-Inputs!$G$37*L$26))</f>
        <v>-27602.020080000002</v>
      </c>
      <c r="M33" s="86">
        <f>IF(Inputs!$G$26="simple",0,IF(M$2&gt;Inputs!$G$11,0,-Inputs!$G$37*M$26))</f>
        <v>-28154.060481600001</v>
      </c>
      <c r="N33" s="86">
        <f>IF(Inputs!$G$26="simple",0,IF(N$2&gt;Inputs!$G$11,0,-Inputs!$G$37*N$26))</f>
        <v>-28717.141691232002</v>
      </c>
      <c r="O33" s="86">
        <f>IF(Inputs!$G$26="simple",0,IF(O$2&gt;Inputs!$G$11,0,-Inputs!$G$37*O$26))</f>
        <v>-29291.484525056643</v>
      </c>
      <c r="P33" s="86">
        <f>IF(Inputs!$G$26="simple",0,IF(P$2&gt;Inputs!$G$11,0,-Inputs!$G$37*P$26))</f>
        <v>-29877.314215557777</v>
      </c>
      <c r="Q33" s="86">
        <f>IF(Inputs!$G$26="simple",0,IF(Q$2&gt;Inputs!$G$11,0,-Inputs!$G$37*Q$26))</f>
        <v>-30474.860499868933</v>
      </c>
      <c r="R33" s="86">
        <f>IF(Inputs!$G$26="simple",0,IF(R$2&gt;Inputs!$G$11,0,-Inputs!$G$37*R$26))</f>
        <v>-31084.357709866312</v>
      </c>
      <c r="S33" s="86">
        <f>IF(Inputs!$G$26="simple",0,IF(S$2&gt;Inputs!$G$11,0,-Inputs!$G$37*S$26))</f>
        <v>-31706.044864063639</v>
      </c>
      <c r="T33" s="86">
        <f>IF(Inputs!$G$26="simple",0,IF(T$2&gt;Inputs!$G$11,0,-Inputs!$G$37*T$26))</f>
        <v>-32340.165761344906</v>
      </c>
      <c r="U33" s="86">
        <f>IF(Inputs!$G$26="simple",0,IF(U$2&gt;Inputs!$G$11,0,-Inputs!$G$37*U$26))</f>
        <v>-32986.969076571811</v>
      </c>
      <c r="V33" s="86">
        <f>IF(Inputs!$G$26="simple",0,IF(V$2&gt;Inputs!$G$11,0,-Inputs!$G$37*V$26))</f>
        <v>-33646.708458103247</v>
      </c>
      <c r="W33" s="86">
        <f>IF(Inputs!$G$26="simple",0,IF(W$2&gt;Inputs!$G$11,0,-Inputs!$G$37*W$26))</f>
        <v>-34319.642627265312</v>
      </c>
      <c r="X33" s="86">
        <f>IF(Inputs!$G$26="simple",0,IF(X$2&gt;Inputs!$G$11,0,-Inputs!$G$37*X$26))</f>
        <v>-35006.03547981062</v>
      </c>
      <c r="Y33" s="86">
        <f>IF(Inputs!$G$26="simple",0,IF(Y$2&gt;Inputs!$G$11,0,-Inputs!$G$37*Y$26))</f>
        <v>-35706.156189406836</v>
      </c>
      <c r="Z33" s="86">
        <f>IF(Inputs!$G$26="simple",0,IF(Z$2&gt;Inputs!$G$11,0,-Inputs!$G$37*Z$26))</f>
        <v>-36420.279313194973</v>
      </c>
      <c r="AA33" s="86">
        <f>IF(Inputs!$G$26="simple",0,IF(AA$2&gt;Inputs!$G$11,0,-Inputs!$G$37*AA$26))</f>
        <v>0</v>
      </c>
      <c r="AB33" s="86">
        <f>IF(Inputs!$G$26="simple",0,IF(AB$2&gt;Inputs!$G$11,0,-Inputs!$G$37*AB$26))</f>
        <v>0</v>
      </c>
      <c r="AC33" s="86">
        <f>IF(Inputs!$G$26="simple",0,IF(AC$2&gt;Inputs!$G$11,0,-Inputs!$G$37*AC$26))</f>
        <v>0</v>
      </c>
      <c r="AD33" s="86">
        <f>IF(Inputs!$G$26="simple",0,IF(AD$2&gt;Inputs!$G$11,0,-Inputs!$G$37*AD$26))</f>
        <v>0</v>
      </c>
      <c r="AE33" s="86">
        <f>IF(Inputs!$G$26="simple",0,IF(AE$2&gt;Inputs!$G$11,0,-Inputs!$G$37*AE$26))</f>
        <v>0</v>
      </c>
      <c r="AF33" s="86">
        <f>IF(Inputs!$G$26="simple",0,IF(AF$2&gt;Inputs!$G$11,0,-Inputs!$G$37*AF$26))</f>
        <v>0</v>
      </c>
      <c r="AG33" s="86">
        <f>IF(Inputs!$G$26="simple",0,IF(AG$2&gt;Inputs!$G$11,0,-Inputs!$G$37*AG$26))</f>
        <v>0</v>
      </c>
      <c r="AH33" s="86">
        <f>IF(Inputs!$G$26="simple",0,IF(AH$2&gt;Inputs!$G$11,0,-Inputs!$G$37*AH$26))</f>
        <v>0</v>
      </c>
      <c r="AI33" s="86">
        <f>IF(Inputs!$G$26="simple",0,IF(AI$2&gt;Inputs!$G$11,0,-Inputs!$G$37*AI$26))</f>
        <v>0</v>
      </c>
      <c r="AJ33" s="86">
        <f>IF(Inputs!$G$26="simple",0,IF(AJ$2&gt;Inputs!$G$11,0,-Inputs!$G$37*AJ$26))</f>
        <v>0</v>
      </c>
    </row>
    <row r="34" spans="2:36" s="30" customFormat="1" ht="16">
      <c r="B34" s="41" t="s">
        <v>116</v>
      </c>
      <c r="C34" s="41"/>
      <c r="D34" s="41"/>
      <c r="E34" s="82" t="s">
        <v>0</v>
      </c>
      <c r="F34" s="41"/>
      <c r="G34" s="55">
        <f>-IF(Inputs!$G$26="simple",0,IF(G$2&gt;Inputs!$G$11,0,Inputs!$G$38*(G$15+G$17+G$19+G$21)))</f>
        <v>-84516.479999999996</v>
      </c>
      <c r="H34" s="55">
        <f>-IF(Inputs!$G$26="simple",0,IF(H$2&gt;Inputs!$G$11,0,Inputs!$G$38*(H$15+H$17+H$19+H$21)))</f>
        <v>-84093.897599999997</v>
      </c>
      <c r="I34" s="55">
        <f>-IF(Inputs!$G$26="simple",0,IF(I$2&gt;Inputs!$G$11,0,Inputs!$G$38*(I$15+I$17+I$19+I$21)))</f>
        <v>-83673.428112000009</v>
      </c>
      <c r="J34" s="55">
        <f>-IF(Inputs!$G$26="simple",0,IF(J$2&gt;Inputs!$G$11,0,Inputs!$G$38*(J$15+J$17+J$19+J$21)))</f>
        <v>-83255.060971440005</v>
      </c>
      <c r="K34" s="55">
        <f>-IF(Inputs!$G$26="simple",0,IF(K$2&gt;Inputs!$G$11,0,Inputs!$G$38*(K$15+K$17+K$19+K$21)))</f>
        <v>-82838.785666582815</v>
      </c>
      <c r="L34" s="55">
        <f>-IF(Inputs!$G$26="simple",0,IF(L$2&gt;Inputs!$G$11,0,Inputs!$G$38*(L$15+L$17+L$19+L$21)))</f>
        <v>-82424.591738249888</v>
      </c>
      <c r="M34" s="55">
        <f>-IF(Inputs!$G$26="simple",0,IF(M$2&gt;Inputs!$G$11,0,Inputs!$G$38*(M$15+M$17+M$19+M$21)))</f>
        <v>-82012.468779558651</v>
      </c>
      <c r="N34" s="55">
        <f>-IF(Inputs!$G$26="simple",0,IF(N$2&gt;Inputs!$G$11,0,Inputs!$G$38*(N$15+N$17+N$19+N$21)))</f>
        <v>-81602.406435660843</v>
      </c>
      <c r="O34" s="55">
        <f>-IF(Inputs!$G$26="simple",0,IF(O$2&gt;Inputs!$G$11,0,Inputs!$G$38*(O$15+O$17+O$19+O$21)))</f>
        <v>-81194.39440348254</v>
      </c>
      <c r="P34" s="55">
        <f>-IF(Inputs!$G$26="simple",0,IF(P$2&gt;Inputs!$G$11,0,Inputs!$G$38*(P$15+P$17+P$19+P$21)))</f>
        <v>-80788.422431465122</v>
      </c>
      <c r="Q34" s="55">
        <f>-IF(Inputs!$G$26="simple",0,IF(Q$2&gt;Inputs!$G$11,0,Inputs!$G$38*(Q$15+Q$17+Q$19+Q$21)))</f>
        <v>-80384.480319307797</v>
      </c>
      <c r="R34" s="55">
        <f>-IF(Inputs!$G$26="simple",0,IF(R$2&gt;Inputs!$G$11,0,Inputs!$G$38*(R$15+R$17+R$19+R$21)))</f>
        <v>-79982.557917711267</v>
      </c>
      <c r="S34" s="55">
        <f>-IF(Inputs!$G$26="simple",0,IF(S$2&gt;Inputs!$G$11,0,Inputs!$G$38*(S$15+S$17+S$19+S$21)))</f>
        <v>-79582.645128122706</v>
      </c>
      <c r="T34" s="55">
        <f>-IF(Inputs!$G$26="simple",0,IF(T$2&gt;Inputs!$G$11,0,Inputs!$G$38*(T$15+T$17+T$19+T$21)))</f>
        <v>-79184.73190248209</v>
      </c>
      <c r="U34" s="55">
        <f>-IF(Inputs!$G$26="simple",0,IF(U$2&gt;Inputs!$G$11,0,Inputs!$G$38*(U$15+U$17+U$19+U$21)))</f>
        <v>-78788.808242969681</v>
      </c>
      <c r="V34" s="55">
        <f>-IF(Inputs!$G$26="simple",0,IF(V$2&gt;Inputs!$G$11,0,Inputs!$G$38*(V$15+V$17+V$19+V$21)))</f>
        <v>-78394.864201754841</v>
      </c>
      <c r="W34" s="55">
        <f>-IF(Inputs!$G$26="simple",0,IF(W$2&gt;Inputs!$G$11,0,Inputs!$G$38*(W$15+W$17+W$19+W$21)))</f>
        <v>-78002.88988074605</v>
      </c>
      <c r="X34" s="55">
        <f>-IF(Inputs!$G$26="simple",0,IF(X$2&gt;Inputs!$G$11,0,Inputs!$G$38*(X$15+X$17+X$19+X$21)))</f>
        <v>-77612.875431342327</v>
      </c>
      <c r="Y34" s="55">
        <f>-IF(Inputs!$G$26="simple",0,IF(Y$2&gt;Inputs!$G$11,0,Inputs!$G$38*(Y$15+Y$17+Y$19+Y$21)))</f>
        <v>-77224.8110541856</v>
      </c>
      <c r="Z34" s="55">
        <f>-IF(Inputs!$G$26="simple",0,IF(Z$2&gt;Inputs!$G$11,0,Inputs!$G$38*(Z$15+Z$17+Z$19+Z$21)))</f>
        <v>-76838.68699891468</v>
      </c>
      <c r="AA34" s="55">
        <f>-IF(Inputs!$G$26="simple",0,IF(AA$2&gt;Inputs!$G$11,0,Inputs!$G$38*(AA$15+AA$17+AA$19+AA$21)))</f>
        <v>0</v>
      </c>
      <c r="AB34" s="55">
        <f>-IF(Inputs!$G$26="simple",0,IF(AB$2&gt;Inputs!$G$11,0,Inputs!$G$38*(AB$15+AB$17+AB$19+AB$21)))</f>
        <v>0</v>
      </c>
      <c r="AC34" s="55">
        <f>-IF(Inputs!$G$26="simple",0,IF(AC$2&gt;Inputs!$G$11,0,Inputs!$G$38*(AC$15+AC$17+AC$19+AC$21)))</f>
        <v>0</v>
      </c>
      <c r="AD34" s="55">
        <f>-IF(Inputs!$G$26="simple",0,IF(AD$2&gt;Inputs!$G$11,0,Inputs!$G$38*(AD$15+AD$17+AD$19+AD$21)))</f>
        <v>0</v>
      </c>
      <c r="AE34" s="55">
        <f>-IF(Inputs!$G$26="simple",0,IF(AE$2&gt;Inputs!$G$11,0,Inputs!$G$38*(AE$15+AE$17+AE$19+AE$21)))</f>
        <v>0</v>
      </c>
      <c r="AF34" s="55">
        <f>-IF(Inputs!$G$26="simple",0,IF(AF$2&gt;Inputs!$G$11,0,Inputs!$G$38*(AF$15+AF$17+AF$19+AF$21)))</f>
        <v>0</v>
      </c>
      <c r="AG34" s="55">
        <f>-IF(Inputs!$G$26="simple",0,IF(AG$2&gt;Inputs!$G$11,0,Inputs!$G$38*(AG$15+AG$17+AG$19+AG$21)))</f>
        <v>0</v>
      </c>
      <c r="AH34" s="55">
        <f>-IF(Inputs!$G$26="simple",0,IF(AH$2&gt;Inputs!$G$11,0,Inputs!$G$38*(AH$15+AH$17+AH$19+AH$21)))</f>
        <v>0</v>
      </c>
      <c r="AI34" s="55">
        <f>-IF(Inputs!$G$26="simple",0,IF(AI$2&gt;Inputs!$G$11,0,Inputs!$G$38*(AI$15+AI$17+AI$19+AI$21)))</f>
        <v>0</v>
      </c>
      <c r="AJ34" s="55">
        <f>-IF(Inputs!$G$26="simple",0,IF(AJ$2&gt;Inputs!$G$11,0,Inputs!$G$38*(AJ$15+AJ$17+AJ$19+AJ$21)))</f>
        <v>0</v>
      </c>
    </row>
    <row r="35" spans="2:36" s="30" customFormat="1" ht="16">
      <c r="B35" s="45" t="s">
        <v>119</v>
      </c>
      <c r="C35" s="45"/>
      <c r="D35" s="45"/>
      <c r="E35" s="83" t="s">
        <v>0</v>
      </c>
      <c r="F35" s="35"/>
      <c r="G35" s="46">
        <f>SUM(G28:G34)</f>
        <v>-1015316.48</v>
      </c>
      <c r="H35" s="46">
        <f t="shared" ref="H35:AJ35" si="5">SUM(H28:H34)</f>
        <v>-1028435.8176000001</v>
      </c>
      <c r="I35" s="46">
        <f t="shared" si="5"/>
        <v>-1041774.85272</v>
      </c>
      <c r="J35" s="46">
        <f t="shared" si="5"/>
        <v>-1055337.1330060991</v>
      </c>
      <c r="K35" s="46">
        <f t="shared" si="5"/>
        <v>-1069126.2654985585</v>
      </c>
      <c r="L35" s="46">
        <f t="shared" si="5"/>
        <v>-1083145.917642202</v>
      </c>
      <c r="M35" s="46">
        <f t="shared" si="5"/>
        <v>-1097399.8183144093</v>
      </c>
      <c r="N35" s="46">
        <f t="shared" si="5"/>
        <v>-1111891.7588710091</v>
      </c>
      <c r="O35" s="46">
        <f t="shared" si="5"/>
        <v>-1126625.5942103942</v>
      </c>
      <c r="P35" s="46">
        <f t="shared" si="5"/>
        <v>-1141605.2438561823</v>
      </c>
      <c r="Q35" s="46">
        <f t="shared" si="5"/>
        <v>-1156834.693058749</v>
      </c>
      <c r="R35" s="46">
        <f t="shared" si="5"/>
        <v>-1172317.9939159758</v>
      </c>
      <c r="S35" s="46">
        <f t="shared" si="5"/>
        <v>-1188059.2665135474</v>
      </c>
      <c r="T35" s="46">
        <f t="shared" si="5"/>
        <v>-1204062.7000851512</v>
      </c>
      <c r="U35" s="46">
        <f t="shared" si="5"/>
        <v>-1220332.5541929344</v>
      </c>
      <c r="V35" s="46">
        <f t="shared" si="5"/>
        <v>-1236873.1599285754</v>
      </c>
      <c r="W35" s="46">
        <f t="shared" si="5"/>
        <v>-1253688.9211353413</v>
      </c>
      <c r="X35" s="46">
        <f t="shared" si="5"/>
        <v>-1270784.3156515053</v>
      </c>
      <c r="Y35" s="46">
        <f t="shared" si="5"/>
        <v>-1288163.8965755005</v>
      </c>
      <c r="Z35" s="46">
        <f t="shared" si="5"/>
        <v>-1305832.2935532064</v>
      </c>
      <c r="AA35" s="46">
        <f t="shared" si="5"/>
        <v>0</v>
      </c>
      <c r="AB35" s="46">
        <f t="shared" si="5"/>
        <v>0</v>
      </c>
      <c r="AC35" s="46">
        <f t="shared" si="5"/>
        <v>0</v>
      </c>
      <c r="AD35" s="46">
        <f t="shared" si="5"/>
        <v>0</v>
      </c>
      <c r="AE35" s="46">
        <f t="shared" si="5"/>
        <v>0</v>
      </c>
      <c r="AF35" s="46">
        <f t="shared" si="5"/>
        <v>0</v>
      </c>
      <c r="AG35" s="46">
        <f t="shared" si="5"/>
        <v>0</v>
      </c>
      <c r="AH35" s="46">
        <f t="shared" si="5"/>
        <v>0</v>
      </c>
      <c r="AI35" s="46">
        <f t="shared" si="5"/>
        <v>0</v>
      </c>
      <c r="AJ35" s="46">
        <f t="shared" si="5"/>
        <v>0</v>
      </c>
    </row>
    <row r="36" spans="2:36" s="30" customFormat="1" ht="16" hidden="1">
      <c r="B36" s="45"/>
      <c r="C36" s="45"/>
      <c r="D36" s="45"/>
      <c r="E36" s="83"/>
      <c r="F36" s="35"/>
      <c r="G36" s="46">
        <f>IF(G35=0,"",G35)</f>
        <v>-1015316.48</v>
      </c>
      <c r="H36" s="46">
        <f t="shared" ref="H36:AJ36" si="6">IF(H35=0,"",H35)</f>
        <v>-1028435.8176000001</v>
      </c>
      <c r="I36" s="46">
        <f t="shared" si="6"/>
        <v>-1041774.85272</v>
      </c>
      <c r="J36" s="46">
        <f t="shared" si="6"/>
        <v>-1055337.1330060991</v>
      </c>
      <c r="K36" s="46">
        <f t="shared" si="6"/>
        <v>-1069126.2654985585</v>
      </c>
      <c r="L36" s="46">
        <f t="shared" si="6"/>
        <v>-1083145.917642202</v>
      </c>
      <c r="M36" s="46">
        <f t="shared" si="6"/>
        <v>-1097399.8183144093</v>
      </c>
      <c r="N36" s="46">
        <f t="shared" si="6"/>
        <v>-1111891.7588710091</v>
      </c>
      <c r="O36" s="46">
        <f t="shared" si="6"/>
        <v>-1126625.5942103942</v>
      </c>
      <c r="P36" s="46">
        <f t="shared" si="6"/>
        <v>-1141605.2438561823</v>
      </c>
      <c r="Q36" s="46">
        <f t="shared" si="6"/>
        <v>-1156834.693058749</v>
      </c>
      <c r="R36" s="46">
        <f t="shared" si="6"/>
        <v>-1172317.9939159758</v>
      </c>
      <c r="S36" s="46">
        <f t="shared" si="6"/>
        <v>-1188059.2665135474</v>
      </c>
      <c r="T36" s="46">
        <f t="shared" si="6"/>
        <v>-1204062.7000851512</v>
      </c>
      <c r="U36" s="46">
        <f t="shared" si="6"/>
        <v>-1220332.5541929344</v>
      </c>
      <c r="V36" s="46">
        <f t="shared" si="6"/>
        <v>-1236873.1599285754</v>
      </c>
      <c r="W36" s="46">
        <f t="shared" si="6"/>
        <v>-1253688.9211353413</v>
      </c>
      <c r="X36" s="46">
        <f t="shared" si="6"/>
        <v>-1270784.3156515053</v>
      </c>
      <c r="Y36" s="46">
        <f t="shared" si="6"/>
        <v>-1288163.8965755005</v>
      </c>
      <c r="Z36" s="46">
        <f t="shared" si="6"/>
        <v>-1305832.2935532064</v>
      </c>
      <c r="AA36" s="46" t="str">
        <f t="shared" si="6"/>
        <v/>
      </c>
      <c r="AB36" s="46" t="str">
        <f t="shared" si="6"/>
        <v/>
      </c>
      <c r="AC36" s="46" t="str">
        <f t="shared" si="6"/>
        <v/>
      </c>
      <c r="AD36" s="46" t="str">
        <f t="shared" si="6"/>
        <v/>
      </c>
      <c r="AE36" s="46" t="str">
        <f t="shared" si="6"/>
        <v/>
      </c>
      <c r="AF36" s="46" t="str">
        <f t="shared" si="6"/>
        <v/>
      </c>
      <c r="AG36" s="46" t="str">
        <f t="shared" si="6"/>
        <v/>
      </c>
      <c r="AH36" s="46" t="str">
        <f t="shared" si="6"/>
        <v/>
      </c>
      <c r="AI36" s="46" t="str">
        <f t="shared" si="6"/>
        <v/>
      </c>
      <c r="AJ36" s="46" t="str">
        <f t="shared" si="6"/>
        <v/>
      </c>
    </row>
    <row r="37" spans="2:36" s="30" customFormat="1" ht="16">
      <c r="B37" s="47" t="s">
        <v>119</v>
      </c>
      <c r="C37" s="47"/>
      <c r="D37" s="47"/>
      <c r="E37" s="81" t="s">
        <v>53</v>
      </c>
      <c r="F37" s="48"/>
      <c r="G37" s="700">
        <f>IF(G$2&gt;Inputs!$G$11,0,G35*100/G5)</f>
        <v>-3.6219908675799086</v>
      </c>
      <c r="H37" s="700">
        <f>IF(H$2&gt;Inputs!$G$11,0,H35*100/H5)</f>
        <v>-3.6872282990293939</v>
      </c>
      <c r="I37" s="700">
        <f>IF(I$2&gt;Inputs!$G$11,0,I35*100/I5)</f>
        <v>-3.7538215558068444</v>
      </c>
      <c r="J37" s="700">
        <f>IF(J$2&gt;Inputs!$G$11,0,J35*100/J5)</f>
        <v>-3.8217994424445796</v>
      </c>
      <c r="K37" s="700">
        <f>IF(K$2&gt;Inputs!$G$11,0,K35*100/K5)</f>
        <v>-3.8911913840118992</v>
      </c>
      <c r="L37" s="700">
        <f>IF(L$2&gt;Inputs!$G$11,0,L35*100/L5)</f>
        <v>-3.9620274396527799</v>
      </c>
      <c r="M37" s="700">
        <f>IF(M$2&gt;Inputs!$G$11,0,M35*100/M5)</f>
        <v>-4.0343383164227067</v>
      </c>
      <c r="N37" s="700">
        <f>IF(N$2&gt;Inputs!$G$11,0,N35*100/N5)</f>
        <v>-4.1081553834313018</v>
      </c>
      <c r="O37" s="700">
        <f>IF(O$2&gt;Inputs!$G$11,0,O35*100/O5)</f>
        <v>-4.1835106862976321</v>
      </c>
      <c r="P37" s="700">
        <f>IF(P$2&gt;Inputs!$G$11,0,P35*100/P5)</f>
        <v>-4.2604369619251754</v>
      </c>
      <c r="Q37" s="700">
        <f>IF(Q$2&gt;Inputs!$G$11,0,Q35*100/Q5)</f>
        <v>-4.3389676536036133</v>
      </c>
      <c r="R37" s="700">
        <f>IF(R$2&gt;Inputs!$G$11,0,R35*100/R5)</f>
        <v>-4.4191369264447875</v>
      </c>
      <c r="S37" s="700">
        <f>IF(S$2&gt;Inputs!$G$11,0,S35*100/S5)</f>
        <v>-4.5009796831602786</v>
      </c>
      <c r="T37" s="700">
        <f>IF(T$2&gt;Inputs!$G$11,0,T35*100/T5)</f>
        <v>-4.5845315801883002</v>
      </c>
      <c r="U37" s="700">
        <f>IF(U$2&gt;Inputs!$G$11,0,U35*100/U5)</f>
        <v>-4.6698290441777326</v>
      </c>
      <c r="V37" s="700">
        <f>IF(V$2&gt;Inputs!$G$11,0,V35*100/V5)</f>
        <v>-4.7569092888372895</v>
      </c>
      <c r="W37" s="700">
        <f>IF(W$2&gt;Inputs!$G$11,0,W35*100/W5)</f>
        <v>-4.8458103321580444</v>
      </c>
      <c r="X37" s="700">
        <f>IF(X$2&gt;Inputs!$G$11,0,X35*100/X5)</f>
        <v>-4.9365710140176722</v>
      </c>
      <c r="Y37" s="700">
        <f>IF(Y$2&gt;Inputs!$G$11,0,Y35*100/Y5)</f>
        <v>-5.0292310141749841</v>
      </c>
      <c r="Z37" s="700">
        <f>IF(Z$2&gt;Inputs!$G$11,0,Z35*100/Z5)</f>
        <v>-5.1238308706635332</v>
      </c>
      <c r="AA37" s="700">
        <f>IF(AA$2&gt;Inputs!$G$11,0,AA35*100/AA5)</f>
        <v>0</v>
      </c>
      <c r="AB37" s="700">
        <f>IF(AB$2&gt;Inputs!$G$11,0,AB35*100/AB5)</f>
        <v>0</v>
      </c>
      <c r="AC37" s="700">
        <f>IF(AC$2&gt;Inputs!$G$11,0,AC35*100/AC5)</f>
        <v>0</v>
      </c>
      <c r="AD37" s="700">
        <f>IF(AD$2&gt;Inputs!$G$11,0,AD35*100/AD5)</f>
        <v>0</v>
      </c>
      <c r="AE37" s="700">
        <f>IF(AE$2&gt;Inputs!$G$11,0,AE35*100/AE5)</f>
        <v>0</v>
      </c>
      <c r="AF37" s="700">
        <f>IF(AF$2&gt;Inputs!$G$11,0,AF35*100/AF5)</f>
        <v>0</v>
      </c>
      <c r="AG37" s="700">
        <f>IF(AG$2&gt;Inputs!$G$11,0,AG35*100/AG5)</f>
        <v>0</v>
      </c>
      <c r="AH37" s="700">
        <f>IF(AH$2&gt;Inputs!$G$11,0,AH35*100/AH5)</f>
        <v>0</v>
      </c>
      <c r="AI37" s="700">
        <f>IF(AI$2&gt;Inputs!$G$11,0,AI35*100/AI5)</f>
        <v>0</v>
      </c>
      <c r="AJ37" s="700">
        <f>IF(AJ$2&gt;Inputs!$G$11,0,AJ35*100/AJ5)</f>
        <v>0</v>
      </c>
    </row>
    <row r="38" spans="2:36" s="30" customFormat="1" ht="16">
      <c r="E38" s="81"/>
    </row>
    <row r="39" spans="2:36" s="30" customFormat="1" ht="16">
      <c r="B39" s="35" t="s">
        <v>120</v>
      </c>
      <c r="C39" s="35"/>
      <c r="D39" s="35"/>
      <c r="E39" s="78" t="s">
        <v>0</v>
      </c>
      <c r="F39" s="32"/>
      <c r="G39" s="46">
        <f t="shared" ref="G39:AJ39" si="7">G23+G35</f>
        <v>1821030.619319343</v>
      </c>
      <c r="H39" s="46">
        <f t="shared" si="7"/>
        <v>1794200.2017193427</v>
      </c>
      <c r="I39" s="46">
        <f t="shared" si="7"/>
        <v>1767220.5169993434</v>
      </c>
      <c r="J39" s="46">
        <f t="shared" si="7"/>
        <v>1740087.6653612442</v>
      </c>
      <c r="K39" s="46">
        <f t="shared" si="7"/>
        <v>1712797.6893735449</v>
      </c>
      <c r="L39" s="46">
        <f t="shared" si="7"/>
        <v>1685346.5729521376</v>
      </c>
      <c r="M39" s="46">
        <f t="shared" si="7"/>
        <v>1657730.2403235552</v>
      </c>
      <c r="N39" s="46">
        <f t="shared" si="7"/>
        <v>1629944.5549703622</v>
      </c>
      <c r="O39" s="46">
        <f t="shared" si="7"/>
        <v>1601985.318558367</v>
      </c>
      <c r="P39" s="46">
        <f t="shared" si="7"/>
        <v>1573848.2698453316</v>
      </c>
      <c r="Q39" s="46">
        <f t="shared" si="7"/>
        <v>1545529.083570854</v>
      </c>
      <c r="R39" s="46">
        <f t="shared" si="7"/>
        <v>1517023.369327076</v>
      </c>
      <c r="S39" s="46">
        <f t="shared" si="7"/>
        <v>1488326.6704098857</v>
      </c>
      <c r="T39" s="46">
        <f t="shared" si="7"/>
        <v>1459434.4626502616</v>
      </c>
      <c r="U39" s="46">
        <f t="shared" si="7"/>
        <v>1430342.1532253979</v>
      </c>
      <c r="V39" s="46">
        <f t="shared" si="7"/>
        <v>1395898.4564164022</v>
      </c>
      <c r="W39" s="46">
        <f t="shared" si="7"/>
        <v>1361245.2614764841</v>
      </c>
      <c r="X39" s="46">
        <f t="shared" si="7"/>
        <v>1331524.3853135291</v>
      </c>
      <c r="Y39" s="46">
        <f t="shared" si="7"/>
        <v>1301584.3251509767</v>
      </c>
      <c r="Z39" s="46">
        <f t="shared" si="7"/>
        <v>1267094.949704095</v>
      </c>
      <c r="AA39" s="46">
        <f t="shared" si="7"/>
        <v>3749.9999999999982</v>
      </c>
      <c r="AB39" s="46">
        <f t="shared" si="7"/>
        <v>0</v>
      </c>
      <c r="AC39" s="46">
        <f t="shared" si="7"/>
        <v>0</v>
      </c>
      <c r="AD39" s="46">
        <f t="shared" si="7"/>
        <v>0</v>
      </c>
      <c r="AE39" s="46">
        <f t="shared" si="7"/>
        <v>0</v>
      </c>
      <c r="AF39" s="46">
        <f t="shared" si="7"/>
        <v>0</v>
      </c>
      <c r="AG39" s="46">
        <f t="shared" si="7"/>
        <v>0</v>
      </c>
      <c r="AH39" s="46">
        <f t="shared" si="7"/>
        <v>0</v>
      </c>
      <c r="AI39" s="46">
        <f t="shared" si="7"/>
        <v>0</v>
      </c>
      <c r="AJ39" s="46">
        <f t="shared" si="7"/>
        <v>0</v>
      </c>
    </row>
    <row r="40" spans="2:36" s="30" customFormat="1" ht="16">
      <c r="B40" s="35"/>
      <c r="C40" s="35"/>
      <c r="D40" s="35"/>
      <c r="E40" s="78" t="s">
        <v>270</v>
      </c>
      <c r="F40" s="84" t="s">
        <v>205</v>
      </c>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row>
    <row r="41" spans="2:36" s="32" customFormat="1" ht="16">
      <c r="B41" s="49" t="s">
        <v>151</v>
      </c>
      <c r="C41" s="49"/>
      <c r="D41" s="49"/>
      <c r="E41" s="50">
        <f>IF(OR(Inputs!$G$47=0,Inputs!$G$47=""),"N/A",AVERAGE(G41:AJ41))</f>
        <v>1.1682343565409206</v>
      </c>
      <c r="F41" s="50">
        <f>IF(OR(Inputs!$G$47=0,Inputs!$G$47=""),"N/A",MIN(G41:AJ41))</f>
        <v>1.0239788383465476</v>
      </c>
      <c r="G41" s="50">
        <f>IF(OR(Inputs!$G$47=0,Inputs!$G$47=""),"N/A",IF(G$2&gt;Inputs!$G$48,"N/A",(G39+SUM(G47:G48))/-G85))</f>
        <v>1.3086473945042796</v>
      </c>
      <c r="H41" s="50">
        <f>IF(OR(Inputs!$G$47=0,Inputs!$G$47=""),"N/A",IF(H$2&gt;Inputs!$G$48,"N/A",(H39+SUM(H47:H48))/-H85))</f>
        <v>1.289097863606522</v>
      </c>
      <c r="I41" s="50">
        <f>IF(OR(Inputs!$G$47=0,Inputs!$G$47=""),"N/A",IF(I$2&gt;Inputs!$G$48,"N/A",(I39+SUM(I47:I48))/-I85))</f>
        <v>1.2694395717413454</v>
      </c>
      <c r="J41" s="50">
        <f>IF(OR(Inputs!$G$47=0,Inputs!$G$47=""),"N/A",IF(J$2&gt;Inputs!$G$48,"N/A",(J39+SUM(J47:J48))/-J85))</f>
        <v>1.2496696773866898</v>
      </c>
      <c r="K41" s="50">
        <f>IF(OR(Inputs!$G$47=0,Inputs!$G$47=""),"N/A",IF(K$2&gt;Inputs!$G$48,"N/A",(K39+SUM(K47:K48))/-K85))</f>
        <v>1.2297852970268932</v>
      </c>
      <c r="L41" s="50">
        <f>IF(OR(Inputs!$G$47=0,Inputs!$G$47=""),"N/A",IF(L$2&gt;Inputs!$G$48,"N/A",(L39+SUM(L47:L48))/-L85))</f>
        <v>1.20978350441006</v>
      </c>
      <c r="M41" s="50">
        <f>IF(OR(Inputs!$G$47=0,Inputs!$G$47=""),"N/A",IF(M$2&gt;Inputs!$G$48,"N/A",(M39+SUM(M47:M48))/-M85))</f>
        <v>1.1896613297926502</v>
      </c>
      <c r="N41" s="50">
        <f>IF(OR(Inputs!$G$47=0,Inputs!$G$47=""),"N/A",IF(N$2&gt;Inputs!$G$48,"N/A",(N39+SUM(N47:N48))/-N85))</f>
        <v>1.1694157591710579</v>
      </c>
      <c r="O41" s="50">
        <f>IF(OR(Inputs!$G$47=0,Inputs!$G$47=""),"N/A",IF(O$2&gt;Inputs!$G$48,"N/A",(O39+SUM(O47:O48))/-O85))</f>
        <v>1.1490437334999404</v>
      </c>
      <c r="P41" s="50">
        <f>IF(OR(Inputs!$G$47=0,Inputs!$G$47=""),"N/A",IF(P$2&gt;Inputs!$G$48,"N/A",(P39+SUM(P47:P48))/-P85))</f>
        <v>1.1285421478970692</v>
      </c>
      <c r="Q41" s="50">
        <f>IF(OR(Inputs!$G$47=0,Inputs!$G$47=""),"N/A",IF(Q$2&gt;Inputs!$G$48,"N/A",(Q39+SUM(Q47:Q48))/-Q85))</f>
        <v>1.1079078508344604</v>
      </c>
      <c r="R41" s="50">
        <f>IF(OR(Inputs!$G$47=0,Inputs!$G$47=""),"N/A",IF(R$2&gt;Inputs!$G$48,"N/A",(R39+SUM(R47:R48))/-R85))</f>
        <v>1.0871376433155369</v>
      </c>
      <c r="S41" s="50">
        <f>IF(OR(Inputs!$G$47=0,Inputs!$G$47=""),"N/A",IF(S$2&gt;Inputs!$G$48,"N/A",(S39+SUM(S47:S48))/-S85))</f>
        <v>1.0662282780380745</v>
      </c>
      <c r="T41" s="50">
        <f>IF(OR(Inputs!$G$47=0,Inputs!$G$47=""),"N/A",IF(T$2&gt;Inputs!$G$48,"N/A",(T39+SUM(T47:T48))/-T85))</f>
        <v>1.0451764585426822</v>
      </c>
      <c r="U41" s="50">
        <f>IF(OR(Inputs!$G$47=0,Inputs!$G$47=""),"N/A",IF(U$2&gt;Inputs!$G$48,"N/A",(U39+SUM(U47:U48))/-U85))</f>
        <v>1.0239788383465476</v>
      </c>
      <c r="V41" s="50" t="str">
        <f>IF(OR(Inputs!$G$47=0,Inputs!$G$47=""),"N/A",IF(V$2&gt;Inputs!$G$48,"N/A",(V39+SUM(V47:V48))/-V85))</f>
        <v>N/A</v>
      </c>
      <c r="W41" s="50" t="str">
        <f>IF(OR(Inputs!$G$47=0,Inputs!$G$47=""),"N/A",IF(W$2&gt;Inputs!$G$48,"N/A",(W39+SUM(W47:W48))/-W85))</f>
        <v>N/A</v>
      </c>
      <c r="X41" s="50" t="str">
        <f>IF(OR(Inputs!$G$47=0,Inputs!$G$47=""),"N/A",IF(X$2&gt;Inputs!$G$48,"N/A",(X39+SUM(X47:X48))/-X85))</f>
        <v>N/A</v>
      </c>
      <c r="Y41" s="50" t="str">
        <f>IF(OR(Inputs!$G$47=0,Inputs!$G$47=""),"N/A",IF(Y$2&gt;Inputs!$G$48,"N/A",(Y39+SUM(Y47:Y48))/-Y85))</f>
        <v>N/A</v>
      </c>
      <c r="Z41" s="50" t="str">
        <f>IF(OR(Inputs!$G$47=0,Inputs!$G$47=""),"N/A",IF(Z$2&gt;Inputs!$G$48,"N/A",(Z39+SUM(Z47:Z48))/-Z85))</f>
        <v>N/A</v>
      </c>
      <c r="AA41" s="50" t="str">
        <f>IF(OR(Inputs!$G$47=0,Inputs!$G$47=""),"N/A",IF(AA$2&gt;Inputs!$G$48,"N/A",(AA39+SUM(AA47:AA48))/-AA85))</f>
        <v>N/A</v>
      </c>
      <c r="AB41" s="50" t="str">
        <f>IF(OR(Inputs!$G$47=0,Inputs!$G$47=""),"N/A",IF(AB$2&gt;Inputs!$G$48,"N/A",(AB39+SUM(AB47:AB48))/-AB85))</f>
        <v>N/A</v>
      </c>
      <c r="AC41" s="50" t="str">
        <f>IF(OR(Inputs!$G$47=0,Inputs!$G$47=""),"N/A",IF(AC$2&gt;Inputs!$G$48,"N/A",(AC39+SUM(AC47:AC48))/-AC85))</f>
        <v>N/A</v>
      </c>
      <c r="AD41" s="50" t="str">
        <f>IF(OR(Inputs!$G$47=0,Inputs!$G$47=""),"N/A",IF(AD$2&gt;Inputs!$G$48,"N/A",(AD39+SUM(AD47:AD48))/-AD85))</f>
        <v>N/A</v>
      </c>
      <c r="AE41" s="50" t="str">
        <f>IF(OR(Inputs!$G$47=0,Inputs!$G$47=""),"N/A",IF(AE$2&gt;Inputs!$G$48,"N/A",(AE39+SUM(AE47:AE48))/-AE85))</f>
        <v>N/A</v>
      </c>
      <c r="AF41" s="50" t="str">
        <f>IF(OR(Inputs!$G$47=0,Inputs!$G$47=""),"N/A",IF(AF$2&gt;Inputs!$G$48,"N/A",(AF39+SUM(AF47:AF48))/-AF85))</f>
        <v>N/A</v>
      </c>
      <c r="AG41" s="50" t="str">
        <f>IF(OR(Inputs!$G$47=0,Inputs!$G$47=""),"N/A",IF(AG$2&gt;Inputs!$G$48,"N/A",(AG39+SUM(AG47:AG48))/-AG85))</f>
        <v>N/A</v>
      </c>
      <c r="AH41" s="50" t="str">
        <f>IF(OR(Inputs!$G$47=0,Inputs!$G$47=""),"N/A",IF(AH$2&gt;Inputs!$G$48,"N/A",(AH39+SUM(AH47:AH48))/-AH85))</f>
        <v>N/A</v>
      </c>
      <c r="AI41" s="50" t="str">
        <f>IF(OR(Inputs!$G$47=0,Inputs!$G$47=""),"N/A",IF(AI$2&gt;Inputs!$G$48,"N/A",(AI39+SUM(AI47:AI48))/-AI85))</f>
        <v>N/A</v>
      </c>
      <c r="AJ41" s="50" t="str">
        <f>IF(OR(Inputs!$G$47=0,Inputs!$G$47=""),"N/A",IF(AJ$2&gt;Inputs!$G$48,"N/A",(AJ39+SUM(AJ47:AJ48))/-AJ85))</f>
        <v>N/A</v>
      </c>
    </row>
    <row r="42" spans="2:36" s="32" customFormat="1" ht="16">
      <c r="B42" s="49" t="s">
        <v>301</v>
      </c>
      <c r="C42" s="49"/>
      <c r="D42" s="49"/>
      <c r="E42" s="84"/>
      <c r="F42" s="50"/>
      <c r="G42" s="423" t="str">
        <f>IF(G41=$F$41,G2,"")</f>
        <v/>
      </c>
      <c r="H42" s="423" t="str">
        <f t="shared" ref="H42:AJ42" si="8">IF(H41=$F$41,H2,"")</f>
        <v/>
      </c>
      <c r="I42" s="423" t="str">
        <f t="shared" si="8"/>
        <v/>
      </c>
      <c r="J42" s="423" t="str">
        <f t="shared" si="8"/>
        <v/>
      </c>
      <c r="K42" s="423" t="str">
        <f t="shared" si="8"/>
        <v/>
      </c>
      <c r="L42" s="423" t="str">
        <f t="shared" si="8"/>
        <v/>
      </c>
      <c r="M42" s="423" t="str">
        <f t="shared" si="8"/>
        <v/>
      </c>
      <c r="N42" s="423" t="str">
        <f t="shared" si="8"/>
        <v/>
      </c>
      <c r="O42" s="423" t="str">
        <f t="shared" si="8"/>
        <v/>
      </c>
      <c r="P42" s="423" t="str">
        <f t="shared" si="8"/>
        <v/>
      </c>
      <c r="Q42" s="423" t="str">
        <f t="shared" si="8"/>
        <v/>
      </c>
      <c r="R42" s="423" t="str">
        <f t="shared" si="8"/>
        <v/>
      </c>
      <c r="S42" s="423" t="str">
        <f t="shared" si="8"/>
        <v/>
      </c>
      <c r="T42" s="423" t="str">
        <f t="shared" si="8"/>
        <v/>
      </c>
      <c r="U42" s="423">
        <f t="shared" si="8"/>
        <v>15</v>
      </c>
      <c r="V42" s="423" t="str">
        <f t="shared" si="8"/>
        <v/>
      </c>
      <c r="W42" s="423" t="str">
        <f t="shared" si="8"/>
        <v/>
      </c>
      <c r="X42" s="423" t="str">
        <f t="shared" si="8"/>
        <v/>
      </c>
      <c r="Y42" s="423" t="str">
        <f t="shared" si="8"/>
        <v/>
      </c>
      <c r="Z42" s="423" t="str">
        <f t="shared" si="8"/>
        <v/>
      </c>
      <c r="AA42" s="423" t="str">
        <f t="shared" si="8"/>
        <v/>
      </c>
      <c r="AB42" s="423" t="str">
        <f t="shared" si="8"/>
        <v/>
      </c>
      <c r="AC42" s="423" t="str">
        <f t="shared" si="8"/>
        <v/>
      </c>
      <c r="AD42" s="423" t="str">
        <f t="shared" si="8"/>
        <v/>
      </c>
      <c r="AE42" s="423" t="str">
        <f t="shared" si="8"/>
        <v/>
      </c>
      <c r="AF42" s="423" t="str">
        <f t="shared" si="8"/>
        <v/>
      </c>
      <c r="AG42" s="423" t="str">
        <f t="shared" si="8"/>
        <v/>
      </c>
      <c r="AH42" s="423" t="str">
        <f t="shared" si="8"/>
        <v/>
      </c>
      <c r="AI42" s="423" t="str">
        <f t="shared" si="8"/>
        <v/>
      </c>
      <c r="AJ42" s="423" t="str">
        <f t="shared" si="8"/>
        <v/>
      </c>
    </row>
    <row r="43" spans="2:36" s="30" customFormat="1" ht="16">
      <c r="B43" s="40" t="s">
        <v>125</v>
      </c>
      <c r="C43" s="40"/>
      <c r="D43" s="40"/>
      <c r="E43" s="82"/>
      <c r="F43" s="40"/>
      <c r="G43" s="44">
        <f>G86</f>
        <v>-875000.00000000012</v>
      </c>
      <c r="H43" s="44">
        <f t="shared" ref="H43:AJ43" si="9">H86</f>
        <v>-840179.70338661957</v>
      </c>
      <c r="I43" s="44">
        <f t="shared" si="9"/>
        <v>-802921.98601030197</v>
      </c>
      <c r="J43" s="44">
        <f t="shared" si="9"/>
        <v>-763056.22841764265</v>
      </c>
      <c r="K43" s="44">
        <f t="shared" si="9"/>
        <v>-720399.8677934967</v>
      </c>
      <c r="L43" s="44">
        <f t="shared" si="9"/>
        <v>-674757.5619256607</v>
      </c>
      <c r="M43" s="44">
        <f t="shared" si="9"/>
        <v>-625920.2946470764</v>
      </c>
      <c r="N43" s="44">
        <f t="shared" si="9"/>
        <v>-573664.418658991</v>
      </c>
      <c r="O43" s="44">
        <f t="shared" si="9"/>
        <v>-517750.63135173952</v>
      </c>
      <c r="P43" s="44">
        <f t="shared" si="9"/>
        <v>-457922.87893298065</v>
      </c>
      <c r="Q43" s="44">
        <f t="shared" si="9"/>
        <v>-393907.18384490843</v>
      </c>
      <c r="R43" s="44">
        <f t="shared" si="9"/>
        <v>-325410.39010067133</v>
      </c>
      <c r="S43" s="44">
        <f t="shared" si="9"/>
        <v>-252118.82079433763</v>
      </c>
      <c r="T43" s="44">
        <f t="shared" si="9"/>
        <v>-173696.84163656054</v>
      </c>
      <c r="U43" s="44">
        <f t="shared" si="9"/>
        <v>-89785.323937738998</v>
      </c>
      <c r="V43" s="44">
        <f t="shared" si="9"/>
        <v>0</v>
      </c>
      <c r="W43" s="44">
        <f t="shared" si="9"/>
        <v>0</v>
      </c>
      <c r="X43" s="44">
        <f t="shared" si="9"/>
        <v>0</v>
      </c>
      <c r="Y43" s="44">
        <f t="shared" si="9"/>
        <v>0</v>
      </c>
      <c r="Z43" s="44">
        <f t="shared" si="9"/>
        <v>0</v>
      </c>
      <c r="AA43" s="44">
        <f t="shared" si="9"/>
        <v>0</v>
      </c>
      <c r="AB43" s="44">
        <f t="shared" si="9"/>
        <v>0</v>
      </c>
      <c r="AC43" s="44">
        <f t="shared" si="9"/>
        <v>0</v>
      </c>
      <c r="AD43" s="44">
        <f t="shared" si="9"/>
        <v>0</v>
      </c>
      <c r="AE43" s="44">
        <f t="shared" si="9"/>
        <v>0</v>
      </c>
      <c r="AF43" s="44">
        <f t="shared" si="9"/>
        <v>0</v>
      </c>
      <c r="AG43" s="44">
        <f t="shared" si="9"/>
        <v>0</v>
      </c>
      <c r="AH43" s="44">
        <f t="shared" si="9"/>
        <v>0</v>
      </c>
      <c r="AI43" s="44">
        <f t="shared" si="9"/>
        <v>0</v>
      </c>
      <c r="AJ43" s="44">
        <f t="shared" si="9"/>
        <v>0</v>
      </c>
    </row>
    <row r="44" spans="2:36" s="30" customFormat="1" ht="16">
      <c r="B44" s="51" t="s">
        <v>72</v>
      </c>
      <c r="C44" s="51"/>
      <c r="D44" s="51"/>
      <c r="E44" s="84"/>
      <c r="F44" s="51"/>
      <c r="G44" s="52">
        <f>G39+G43</f>
        <v>946030.61931934289</v>
      </c>
      <c r="H44" s="52">
        <f t="shared" ref="H44:AJ44" si="10">H39+H43</f>
        <v>954020.49833272316</v>
      </c>
      <c r="I44" s="52">
        <f t="shared" si="10"/>
        <v>964298.53098904144</v>
      </c>
      <c r="J44" s="52">
        <f t="shared" si="10"/>
        <v>977031.43694360158</v>
      </c>
      <c r="K44" s="52">
        <f t="shared" si="10"/>
        <v>992397.82158004818</v>
      </c>
      <c r="L44" s="52">
        <f t="shared" si="10"/>
        <v>1010589.0110264769</v>
      </c>
      <c r="M44" s="52">
        <f t="shared" si="10"/>
        <v>1031809.9456764788</v>
      </c>
      <c r="N44" s="52">
        <f t="shared" si="10"/>
        <v>1056280.1363113713</v>
      </c>
      <c r="O44" s="52">
        <f t="shared" si="10"/>
        <v>1084234.6872066273</v>
      </c>
      <c r="P44" s="52">
        <f t="shared" si="10"/>
        <v>1115925.390912351</v>
      </c>
      <c r="Q44" s="52">
        <f t="shared" si="10"/>
        <v>1151621.8997259457</v>
      </c>
      <c r="R44" s="52">
        <f t="shared" si="10"/>
        <v>1191612.9792264048</v>
      </c>
      <c r="S44" s="52">
        <f t="shared" si="10"/>
        <v>1236207.849615548</v>
      </c>
      <c r="T44" s="52">
        <f t="shared" si="10"/>
        <v>1285737.621013701</v>
      </c>
      <c r="U44" s="52">
        <f t="shared" si="10"/>
        <v>1340556.8292876589</v>
      </c>
      <c r="V44" s="52">
        <f t="shared" si="10"/>
        <v>1395898.4564164022</v>
      </c>
      <c r="W44" s="52">
        <f t="shared" si="10"/>
        <v>1361245.2614764841</v>
      </c>
      <c r="X44" s="52">
        <f t="shared" si="10"/>
        <v>1331524.3853135291</v>
      </c>
      <c r="Y44" s="52">
        <f t="shared" si="10"/>
        <v>1301584.3251509767</v>
      </c>
      <c r="Z44" s="52">
        <f t="shared" si="10"/>
        <v>1267094.949704095</v>
      </c>
      <c r="AA44" s="52">
        <f t="shared" si="10"/>
        <v>3749.9999999999982</v>
      </c>
      <c r="AB44" s="52">
        <f t="shared" si="10"/>
        <v>0</v>
      </c>
      <c r="AC44" s="52">
        <f t="shared" si="10"/>
        <v>0</v>
      </c>
      <c r="AD44" s="52">
        <f t="shared" si="10"/>
        <v>0</v>
      </c>
      <c r="AE44" s="52">
        <f t="shared" si="10"/>
        <v>0</v>
      </c>
      <c r="AF44" s="52">
        <f t="shared" si="10"/>
        <v>0</v>
      </c>
      <c r="AG44" s="52">
        <f t="shared" si="10"/>
        <v>0</v>
      </c>
      <c r="AH44" s="52">
        <f t="shared" si="10"/>
        <v>0</v>
      </c>
      <c r="AI44" s="52">
        <f t="shared" si="10"/>
        <v>0</v>
      </c>
      <c r="AJ44" s="52">
        <f t="shared" si="10"/>
        <v>0</v>
      </c>
    </row>
    <row r="45" spans="2:36" s="30" customFormat="1" ht="16">
      <c r="B45" s="32"/>
      <c r="C45" s="32"/>
      <c r="D45" s="32"/>
      <c r="E45" s="84"/>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row>
    <row r="46" spans="2:36" s="30" customFormat="1" ht="16">
      <c r="B46" s="37" t="s">
        <v>124</v>
      </c>
      <c r="C46" s="37"/>
      <c r="D46" s="37"/>
      <c r="E46" s="78"/>
      <c r="F46" s="37"/>
      <c r="G46" s="43">
        <f>G87</f>
        <v>-497432.80876258173</v>
      </c>
      <c r="H46" s="43">
        <f t="shared" ref="H46:AJ46" si="11">H87</f>
        <v>-532253.10537596233</v>
      </c>
      <c r="I46" s="43">
        <f t="shared" si="11"/>
        <v>-569510.8227522797</v>
      </c>
      <c r="J46" s="43">
        <f t="shared" si="11"/>
        <v>-609376.58034493937</v>
      </c>
      <c r="K46" s="43">
        <f t="shared" si="11"/>
        <v>-652032.94096908509</v>
      </c>
      <c r="L46" s="43">
        <f t="shared" si="11"/>
        <v>-697675.24683692097</v>
      </c>
      <c r="M46" s="43">
        <f t="shared" si="11"/>
        <v>-746512.5141155055</v>
      </c>
      <c r="N46" s="43">
        <f t="shared" si="11"/>
        <v>-798768.39010359091</v>
      </c>
      <c r="O46" s="43">
        <f t="shared" si="11"/>
        <v>-854682.17741084239</v>
      </c>
      <c r="P46" s="43">
        <f t="shared" si="11"/>
        <v>-914509.9298296012</v>
      </c>
      <c r="Q46" s="43">
        <f t="shared" si="11"/>
        <v>-978525.6249176733</v>
      </c>
      <c r="R46" s="43">
        <f t="shared" si="11"/>
        <v>-1047022.4186619105</v>
      </c>
      <c r="S46" s="43">
        <f t="shared" si="11"/>
        <v>-1120313.9879682441</v>
      </c>
      <c r="T46" s="43">
        <f t="shared" si="11"/>
        <v>-1198735.9671260214</v>
      </c>
      <c r="U46" s="43">
        <f t="shared" si="11"/>
        <v>-1282647.4848248428</v>
      </c>
      <c r="V46" s="43">
        <f t="shared" si="11"/>
        <v>0</v>
      </c>
      <c r="W46" s="43">
        <f t="shared" si="11"/>
        <v>0</v>
      </c>
      <c r="X46" s="43">
        <f t="shared" si="11"/>
        <v>0</v>
      </c>
      <c r="Y46" s="43">
        <f t="shared" si="11"/>
        <v>0</v>
      </c>
      <c r="Z46" s="43">
        <f t="shared" si="11"/>
        <v>0</v>
      </c>
      <c r="AA46" s="43">
        <f t="shared" si="11"/>
        <v>0</v>
      </c>
      <c r="AB46" s="43">
        <f t="shared" si="11"/>
        <v>0</v>
      </c>
      <c r="AC46" s="43">
        <f t="shared" si="11"/>
        <v>0</v>
      </c>
      <c r="AD46" s="43">
        <f t="shared" si="11"/>
        <v>0</v>
      </c>
      <c r="AE46" s="43">
        <f t="shared" si="11"/>
        <v>0</v>
      </c>
      <c r="AF46" s="43">
        <f t="shared" si="11"/>
        <v>0</v>
      </c>
      <c r="AG46" s="43">
        <f t="shared" si="11"/>
        <v>0</v>
      </c>
      <c r="AH46" s="43">
        <f t="shared" si="11"/>
        <v>0</v>
      </c>
      <c r="AI46" s="43">
        <f t="shared" si="11"/>
        <v>0</v>
      </c>
      <c r="AJ46" s="43">
        <f t="shared" si="11"/>
        <v>0</v>
      </c>
    </row>
    <row r="47" spans="2:36" s="39" customFormat="1" ht="16">
      <c r="B47" s="37" t="s">
        <v>199</v>
      </c>
      <c r="C47" s="37"/>
      <c r="D47" s="37"/>
      <c r="E47" s="78"/>
      <c r="F47" s="37"/>
      <c r="G47" s="43">
        <f>-G209</f>
        <v>-25000</v>
      </c>
      <c r="H47" s="43">
        <f t="shared" ref="H47:AJ47" si="12">-H209</f>
        <v>-25000</v>
      </c>
      <c r="I47" s="43">
        <f t="shared" si="12"/>
        <v>-25000</v>
      </c>
      <c r="J47" s="43">
        <f t="shared" si="12"/>
        <v>-25000</v>
      </c>
      <c r="K47" s="43">
        <f t="shared" si="12"/>
        <v>-25000</v>
      </c>
      <c r="L47" s="43">
        <f t="shared" si="12"/>
        <v>-25000</v>
      </c>
      <c r="M47" s="43">
        <f t="shared" si="12"/>
        <v>-25000</v>
      </c>
      <c r="N47" s="43">
        <f t="shared" si="12"/>
        <v>-25000</v>
      </c>
      <c r="O47" s="43">
        <f t="shared" si="12"/>
        <v>-25000</v>
      </c>
      <c r="P47" s="43">
        <f t="shared" si="12"/>
        <v>-25000</v>
      </c>
      <c r="Q47" s="43">
        <f t="shared" si="12"/>
        <v>-25000</v>
      </c>
      <c r="R47" s="43">
        <f t="shared" si="12"/>
        <v>-25000</v>
      </c>
      <c r="S47" s="43">
        <f t="shared" si="12"/>
        <v>-25000</v>
      </c>
      <c r="T47" s="43">
        <f t="shared" si="12"/>
        <v>-25000</v>
      </c>
      <c r="U47" s="43">
        <f t="shared" si="12"/>
        <v>-25000</v>
      </c>
      <c r="V47" s="43">
        <f t="shared" si="12"/>
        <v>661216.40438129089</v>
      </c>
      <c r="W47" s="43">
        <f t="shared" si="12"/>
        <v>-25000</v>
      </c>
      <c r="X47" s="43">
        <f t="shared" si="12"/>
        <v>-25000</v>
      </c>
      <c r="Y47" s="43">
        <f t="shared" si="12"/>
        <v>-25000</v>
      </c>
      <c r="Z47" s="43">
        <f t="shared" si="12"/>
        <v>551690.21690823347</v>
      </c>
      <c r="AA47" s="43">
        <f t="shared" si="12"/>
        <v>0</v>
      </c>
      <c r="AB47" s="43">
        <f t="shared" si="12"/>
        <v>0</v>
      </c>
      <c r="AC47" s="43">
        <f t="shared" si="12"/>
        <v>0</v>
      </c>
      <c r="AD47" s="43">
        <f t="shared" si="12"/>
        <v>0</v>
      </c>
      <c r="AE47" s="43">
        <f t="shared" si="12"/>
        <v>0</v>
      </c>
      <c r="AF47" s="43">
        <f t="shared" si="12"/>
        <v>0</v>
      </c>
      <c r="AG47" s="43">
        <f t="shared" si="12"/>
        <v>0</v>
      </c>
      <c r="AH47" s="43">
        <f t="shared" si="12"/>
        <v>0</v>
      </c>
      <c r="AI47" s="43">
        <f t="shared" si="12"/>
        <v>0</v>
      </c>
      <c r="AJ47" s="43">
        <f t="shared" si="12"/>
        <v>0</v>
      </c>
    </row>
    <row r="48" spans="2:36" s="39" customFormat="1" ht="16">
      <c r="B48" s="40" t="s">
        <v>200</v>
      </c>
      <c r="C48" s="40"/>
      <c r="D48" s="40"/>
      <c r="E48" s="82"/>
      <c r="F48" s="40"/>
      <c r="G48" s="44">
        <f>MIN(SUM(G201:G205),0)</f>
        <v>0</v>
      </c>
      <c r="H48" s="44">
        <f t="shared" ref="H48:AJ48" si="13">MIN(SUM(H201:H205),0)</f>
        <v>0</v>
      </c>
      <c r="I48" s="44">
        <f t="shared" si="13"/>
        <v>0</v>
      </c>
      <c r="J48" s="44">
        <f t="shared" si="13"/>
        <v>0</v>
      </c>
      <c r="K48" s="44">
        <f t="shared" si="13"/>
        <v>0</v>
      </c>
      <c r="L48" s="44">
        <f t="shared" si="13"/>
        <v>0</v>
      </c>
      <c r="M48" s="44">
        <f t="shared" si="13"/>
        <v>0</v>
      </c>
      <c r="N48" s="44">
        <f t="shared" si="13"/>
        <v>0</v>
      </c>
      <c r="O48" s="44">
        <f t="shared" si="13"/>
        <v>0</v>
      </c>
      <c r="P48" s="44">
        <f t="shared" si="13"/>
        <v>0</v>
      </c>
      <c r="Q48" s="44">
        <f t="shared" si="13"/>
        <v>0</v>
      </c>
      <c r="R48" s="44">
        <f t="shared" si="13"/>
        <v>0</v>
      </c>
      <c r="S48" s="44">
        <f t="shared" si="13"/>
        <v>0</v>
      </c>
      <c r="T48" s="44">
        <f t="shared" si="13"/>
        <v>0</v>
      </c>
      <c r="U48" s="44">
        <f t="shared" si="13"/>
        <v>0</v>
      </c>
      <c r="V48" s="44">
        <f t="shared" si="13"/>
        <v>0</v>
      </c>
      <c r="W48" s="44">
        <f t="shared" si="13"/>
        <v>0</v>
      </c>
      <c r="X48" s="44">
        <f t="shared" si="13"/>
        <v>0</v>
      </c>
      <c r="Y48" s="44">
        <f t="shared" si="13"/>
        <v>0</v>
      </c>
      <c r="Z48" s="44">
        <f t="shared" si="13"/>
        <v>0</v>
      </c>
      <c r="AA48" s="44">
        <f t="shared" si="13"/>
        <v>0</v>
      </c>
      <c r="AB48" s="44">
        <f t="shared" si="13"/>
        <v>0</v>
      </c>
      <c r="AC48" s="44">
        <f t="shared" si="13"/>
        <v>0</v>
      </c>
      <c r="AD48" s="44">
        <f t="shared" si="13"/>
        <v>0</v>
      </c>
      <c r="AE48" s="44">
        <f t="shared" si="13"/>
        <v>0</v>
      </c>
      <c r="AF48" s="44">
        <f t="shared" si="13"/>
        <v>0</v>
      </c>
      <c r="AG48" s="44">
        <f t="shared" si="13"/>
        <v>0</v>
      </c>
      <c r="AH48" s="44">
        <f t="shared" si="13"/>
        <v>0</v>
      </c>
      <c r="AI48" s="44">
        <f t="shared" si="13"/>
        <v>0</v>
      </c>
      <c r="AJ48" s="44">
        <f t="shared" si="13"/>
        <v>0</v>
      </c>
    </row>
    <row r="49" spans="1:36" s="30" customFormat="1" ht="17">
      <c r="A49" s="32"/>
      <c r="B49" s="53" t="s">
        <v>73</v>
      </c>
      <c r="C49" s="53"/>
      <c r="D49" s="53"/>
      <c r="E49" s="333"/>
      <c r="F49" s="333"/>
      <c r="G49" s="46">
        <f>G44+SUM(G46:G48)</f>
        <v>423597.81055676116</v>
      </c>
      <c r="H49" s="46">
        <f t="shared" ref="H49:AJ49" si="14">H44+SUM(H46:H48)</f>
        <v>396767.39295676083</v>
      </c>
      <c r="I49" s="46">
        <f t="shared" si="14"/>
        <v>369787.70823676174</v>
      </c>
      <c r="J49" s="46">
        <f t="shared" si="14"/>
        <v>342654.85659866221</v>
      </c>
      <c r="K49" s="46">
        <f t="shared" si="14"/>
        <v>315364.8806109631</v>
      </c>
      <c r="L49" s="46">
        <f t="shared" si="14"/>
        <v>287913.76418955589</v>
      </c>
      <c r="M49" s="46">
        <f t="shared" si="14"/>
        <v>260297.43156097329</v>
      </c>
      <c r="N49" s="46">
        <f t="shared" si="14"/>
        <v>232511.74620778044</v>
      </c>
      <c r="O49" s="46">
        <f t="shared" si="14"/>
        <v>204552.50979578495</v>
      </c>
      <c r="P49" s="46">
        <f t="shared" si="14"/>
        <v>176415.46108274977</v>
      </c>
      <c r="Q49" s="46">
        <f t="shared" si="14"/>
        <v>148096.27480827237</v>
      </c>
      <c r="R49" s="46">
        <f t="shared" si="14"/>
        <v>119590.56056449423</v>
      </c>
      <c r="S49" s="46">
        <f t="shared" si="14"/>
        <v>90893.861647303915</v>
      </c>
      <c r="T49" s="46">
        <f t="shared" si="14"/>
        <v>62001.653887679568</v>
      </c>
      <c r="U49" s="46">
        <f t="shared" si="14"/>
        <v>32909.344462816138</v>
      </c>
      <c r="V49" s="46">
        <f t="shared" si="14"/>
        <v>2057114.860797693</v>
      </c>
      <c r="W49" s="46">
        <f t="shared" si="14"/>
        <v>1336245.2614764841</v>
      </c>
      <c r="X49" s="46">
        <f t="shared" si="14"/>
        <v>1306524.3853135291</v>
      </c>
      <c r="Y49" s="46">
        <f t="shared" si="14"/>
        <v>1276584.3251509767</v>
      </c>
      <c r="Z49" s="46">
        <f t="shared" si="14"/>
        <v>1818785.1666123285</v>
      </c>
      <c r="AA49" s="46">
        <f t="shared" si="14"/>
        <v>3749.9999999999982</v>
      </c>
      <c r="AB49" s="46">
        <f t="shared" si="14"/>
        <v>0</v>
      </c>
      <c r="AC49" s="46">
        <f t="shared" si="14"/>
        <v>0</v>
      </c>
      <c r="AD49" s="46">
        <f t="shared" si="14"/>
        <v>0</v>
      </c>
      <c r="AE49" s="46">
        <f t="shared" si="14"/>
        <v>0</v>
      </c>
      <c r="AF49" s="46">
        <f t="shared" si="14"/>
        <v>0</v>
      </c>
      <c r="AG49" s="46">
        <f t="shared" si="14"/>
        <v>0</v>
      </c>
      <c r="AH49" s="46">
        <f t="shared" si="14"/>
        <v>0</v>
      </c>
      <c r="AI49" s="46">
        <f t="shared" si="14"/>
        <v>0</v>
      </c>
      <c r="AJ49" s="46">
        <f t="shared" si="14"/>
        <v>0</v>
      </c>
    </row>
    <row r="50" spans="1:36" s="30" customFormat="1" ht="16">
      <c r="B50" s="35"/>
      <c r="C50" s="35"/>
      <c r="D50" s="35"/>
      <c r="G50" s="54"/>
    </row>
    <row r="51" spans="1:36" s="30" customFormat="1" ht="16">
      <c r="B51" s="31" t="s">
        <v>74</v>
      </c>
      <c r="C51" s="31"/>
      <c r="D51" s="31"/>
      <c r="F51" s="89"/>
      <c r="G51" s="54"/>
    </row>
    <row r="52" spans="1:36" s="30" customFormat="1" ht="16">
      <c r="B52" s="32" t="s">
        <v>274</v>
      </c>
      <c r="C52" s="32"/>
      <c r="D52" s="32"/>
      <c r="F52" s="54">
        <f>-(Inputs!$G$22-Inputs!$G$65-$F$82)</f>
        <v>-12500000</v>
      </c>
      <c r="G52" s="54">
        <v>0</v>
      </c>
      <c r="H52" s="54">
        <v>0</v>
      </c>
      <c r="I52" s="54">
        <v>0</v>
      </c>
      <c r="J52" s="54">
        <v>0</v>
      </c>
      <c r="K52" s="54">
        <v>0</v>
      </c>
      <c r="L52" s="54">
        <v>0</v>
      </c>
      <c r="M52" s="54">
        <v>0</v>
      </c>
      <c r="N52" s="54">
        <v>0</v>
      </c>
      <c r="O52" s="54">
        <v>0</v>
      </c>
      <c r="P52" s="54">
        <v>0</v>
      </c>
      <c r="Q52" s="54">
        <v>0</v>
      </c>
      <c r="R52" s="54">
        <v>0</v>
      </c>
      <c r="S52" s="54">
        <v>0</v>
      </c>
      <c r="T52" s="54">
        <v>0</v>
      </c>
      <c r="U52" s="54">
        <v>0</v>
      </c>
      <c r="V52" s="54">
        <v>0</v>
      </c>
      <c r="W52" s="54">
        <v>0</v>
      </c>
      <c r="X52" s="54">
        <v>0</v>
      </c>
      <c r="Y52" s="54">
        <v>0</v>
      </c>
      <c r="Z52" s="54">
        <v>0</v>
      </c>
      <c r="AA52" s="54">
        <v>0</v>
      </c>
      <c r="AB52" s="54">
        <v>0</v>
      </c>
      <c r="AC52" s="54">
        <v>0</v>
      </c>
      <c r="AD52" s="54">
        <v>0</v>
      </c>
      <c r="AE52" s="54">
        <v>0</v>
      </c>
      <c r="AF52" s="54">
        <v>0</v>
      </c>
      <c r="AG52" s="54">
        <v>0</v>
      </c>
      <c r="AH52" s="54">
        <v>0</v>
      </c>
      <c r="AI52" s="54">
        <v>0</v>
      </c>
      <c r="AJ52" s="54">
        <v>0</v>
      </c>
    </row>
    <row r="53" spans="1:36" s="30" customFormat="1" ht="16">
      <c r="B53" s="41" t="s">
        <v>73</v>
      </c>
      <c r="C53" s="41"/>
      <c r="D53" s="41"/>
      <c r="E53" s="41"/>
      <c r="F53" s="41"/>
      <c r="G53" s="55">
        <f>G49</f>
        <v>423597.81055676116</v>
      </c>
      <c r="H53" s="55">
        <f t="shared" ref="H53:AJ53" si="15">H49</f>
        <v>396767.39295676083</v>
      </c>
      <c r="I53" s="55">
        <f t="shared" si="15"/>
        <v>369787.70823676174</v>
      </c>
      <c r="J53" s="55">
        <f t="shared" si="15"/>
        <v>342654.85659866221</v>
      </c>
      <c r="K53" s="55">
        <f t="shared" si="15"/>
        <v>315364.8806109631</v>
      </c>
      <c r="L53" s="55">
        <f t="shared" si="15"/>
        <v>287913.76418955589</v>
      </c>
      <c r="M53" s="55">
        <f t="shared" si="15"/>
        <v>260297.43156097329</v>
      </c>
      <c r="N53" s="55">
        <f t="shared" si="15"/>
        <v>232511.74620778044</v>
      </c>
      <c r="O53" s="55">
        <f t="shared" si="15"/>
        <v>204552.50979578495</v>
      </c>
      <c r="P53" s="55">
        <f t="shared" si="15"/>
        <v>176415.46108274977</v>
      </c>
      <c r="Q53" s="55">
        <f t="shared" si="15"/>
        <v>148096.27480827237</v>
      </c>
      <c r="R53" s="55">
        <f t="shared" si="15"/>
        <v>119590.56056449423</v>
      </c>
      <c r="S53" s="55">
        <f t="shared" si="15"/>
        <v>90893.861647303915</v>
      </c>
      <c r="T53" s="55">
        <f t="shared" si="15"/>
        <v>62001.653887679568</v>
      </c>
      <c r="U53" s="55">
        <f t="shared" si="15"/>
        <v>32909.344462816138</v>
      </c>
      <c r="V53" s="55">
        <f t="shared" si="15"/>
        <v>2057114.860797693</v>
      </c>
      <c r="W53" s="55">
        <f t="shared" si="15"/>
        <v>1336245.2614764841</v>
      </c>
      <c r="X53" s="55">
        <f t="shared" si="15"/>
        <v>1306524.3853135291</v>
      </c>
      <c r="Y53" s="55">
        <f t="shared" si="15"/>
        <v>1276584.3251509767</v>
      </c>
      <c r="Z53" s="55">
        <f t="shared" si="15"/>
        <v>1818785.1666123285</v>
      </c>
      <c r="AA53" s="55">
        <f t="shared" si="15"/>
        <v>3749.9999999999982</v>
      </c>
      <c r="AB53" s="55">
        <f t="shared" si="15"/>
        <v>0</v>
      </c>
      <c r="AC53" s="55">
        <f t="shared" si="15"/>
        <v>0</v>
      </c>
      <c r="AD53" s="55">
        <f t="shared" si="15"/>
        <v>0</v>
      </c>
      <c r="AE53" s="55">
        <f t="shared" si="15"/>
        <v>0</v>
      </c>
      <c r="AF53" s="55">
        <f t="shared" si="15"/>
        <v>0</v>
      </c>
      <c r="AG53" s="55">
        <f t="shared" si="15"/>
        <v>0</v>
      </c>
      <c r="AH53" s="55">
        <f t="shared" si="15"/>
        <v>0</v>
      </c>
      <c r="AI53" s="55">
        <f t="shared" si="15"/>
        <v>0</v>
      </c>
      <c r="AJ53" s="55">
        <f t="shared" si="15"/>
        <v>0</v>
      </c>
    </row>
    <row r="54" spans="1:36" s="30" customFormat="1" ht="17">
      <c r="B54" s="53" t="s">
        <v>126</v>
      </c>
      <c r="C54" s="53"/>
      <c r="D54" s="53"/>
      <c r="E54" s="396"/>
      <c r="F54" s="54">
        <f t="shared" ref="F54:AJ54" si="16">SUM(F52:F53)</f>
        <v>-12500000</v>
      </c>
      <c r="G54" s="54">
        <f t="shared" si="16"/>
        <v>423597.81055676116</v>
      </c>
      <c r="H54" s="54">
        <f t="shared" si="16"/>
        <v>396767.39295676083</v>
      </c>
      <c r="I54" s="54">
        <f t="shared" si="16"/>
        <v>369787.70823676174</v>
      </c>
      <c r="J54" s="54">
        <f t="shared" si="16"/>
        <v>342654.85659866221</v>
      </c>
      <c r="K54" s="54">
        <f t="shared" si="16"/>
        <v>315364.8806109631</v>
      </c>
      <c r="L54" s="54">
        <f t="shared" si="16"/>
        <v>287913.76418955589</v>
      </c>
      <c r="M54" s="54">
        <f t="shared" si="16"/>
        <v>260297.43156097329</v>
      </c>
      <c r="N54" s="54">
        <f t="shared" si="16"/>
        <v>232511.74620778044</v>
      </c>
      <c r="O54" s="54">
        <f t="shared" si="16"/>
        <v>204552.50979578495</v>
      </c>
      <c r="P54" s="54">
        <f t="shared" si="16"/>
        <v>176415.46108274977</v>
      </c>
      <c r="Q54" s="54">
        <f t="shared" si="16"/>
        <v>148096.27480827237</v>
      </c>
      <c r="R54" s="54">
        <f t="shared" si="16"/>
        <v>119590.56056449423</v>
      </c>
      <c r="S54" s="54">
        <f t="shared" si="16"/>
        <v>90893.861647303915</v>
      </c>
      <c r="T54" s="54">
        <f t="shared" si="16"/>
        <v>62001.653887679568</v>
      </c>
      <c r="U54" s="54">
        <f t="shared" si="16"/>
        <v>32909.344462816138</v>
      </c>
      <c r="V54" s="54">
        <f t="shared" si="16"/>
        <v>2057114.860797693</v>
      </c>
      <c r="W54" s="54">
        <f t="shared" si="16"/>
        <v>1336245.2614764841</v>
      </c>
      <c r="X54" s="54">
        <f t="shared" si="16"/>
        <v>1306524.3853135291</v>
      </c>
      <c r="Y54" s="54">
        <f t="shared" si="16"/>
        <v>1276584.3251509767</v>
      </c>
      <c r="Z54" s="54">
        <f t="shared" si="16"/>
        <v>1818785.1666123285</v>
      </c>
      <c r="AA54" s="54">
        <f t="shared" si="16"/>
        <v>3749.9999999999982</v>
      </c>
      <c r="AB54" s="54">
        <f t="shared" si="16"/>
        <v>0</v>
      </c>
      <c r="AC54" s="54">
        <f t="shared" si="16"/>
        <v>0</v>
      </c>
      <c r="AD54" s="54">
        <f t="shared" si="16"/>
        <v>0</v>
      </c>
      <c r="AE54" s="54">
        <f t="shared" si="16"/>
        <v>0</v>
      </c>
      <c r="AF54" s="54">
        <f t="shared" si="16"/>
        <v>0</v>
      </c>
      <c r="AG54" s="54">
        <f t="shared" si="16"/>
        <v>0</v>
      </c>
      <c r="AH54" s="54">
        <f t="shared" si="16"/>
        <v>0</v>
      </c>
      <c r="AI54" s="54">
        <f t="shared" si="16"/>
        <v>0</v>
      </c>
      <c r="AJ54" s="54">
        <f t="shared" si="16"/>
        <v>0</v>
      </c>
    </row>
    <row r="55" spans="1:36" s="30" customFormat="1" ht="17">
      <c r="B55" s="56" t="s">
        <v>75</v>
      </c>
      <c r="C55" s="56"/>
      <c r="D55" s="56"/>
      <c r="E55" s="54"/>
      <c r="F55" s="87"/>
      <c r="G55" s="379">
        <f>IF(ISERROR(IRR($F54:G54)),"NA",IRR($F54:G54))</f>
        <v>-0.96611217515545911</v>
      </c>
      <c r="H55" s="379">
        <f>IF(ISERROR(IRR($F54:H54)),"NA",IRR($F54:H54))</f>
        <v>-0.80409104181539515</v>
      </c>
      <c r="I55" s="379">
        <f>IF(ISERROR(IRR($F54:I54)),"NA",IRR($F54:I54))</f>
        <v>-0.64381590735720307</v>
      </c>
      <c r="J55" s="379">
        <f>IF(ISERROR(IRR($F54:J54)),"NA",IRR($F54:J54))</f>
        <v>-0.52114994359812583</v>
      </c>
      <c r="K55" s="379">
        <f>IF(ISERROR(IRR($F54:K54)),"NA",IRR($F54:K54))</f>
        <v>-0.43060535562771718</v>
      </c>
      <c r="L55" s="379">
        <f>IF(ISERROR(IRR($F54:L54)),"NA",IRR($F54:L54))</f>
        <v>-0.36332909656779977</v>
      </c>
      <c r="M55" s="379">
        <f>IF(ISERROR(IRR($F54:M54)),"NA",IRR($F54:M54))</f>
        <v>-0.31257714063097319</v>
      </c>
      <c r="N55" s="379">
        <f>IF(ISERROR(IRR($F54:N54)),"NA",IRR($F54:N54))</f>
        <v>-0.27372103504885048</v>
      </c>
      <c r="O55" s="379">
        <f>IF(ISERROR(IRR($F54:O54)),"NA",IRR($F54:O54))</f>
        <v>-0.24363237979932617</v>
      </c>
      <c r="P55" s="379">
        <f>IF(ISERROR(IRR($F54:P54)),"NA",IRR($F54:P54))</f>
        <v>-0.22018455283381089</v>
      </c>
      <c r="Q55" s="379">
        <f>IF(ISERROR(IRR($F54:Q54)),"NA",IRR($F54:Q54))</f>
        <v>-0.20192274150200074</v>
      </c>
      <c r="R55" s="379">
        <f>IF(ISERROR(IRR($F54:R54)),"NA",IRR($F54:R54))</f>
        <v>-0.18785832541031533</v>
      </c>
      <c r="S55" s="379">
        <f>IF(ISERROR(IRR($F54:S54)),"NA",IRR($F54:S54))</f>
        <v>-0.17734898998497484</v>
      </c>
      <c r="T55" s="379">
        <f>IF(ISERROR(IRR($F54:T54)),"NA",IRR($F54:T54))</f>
        <v>-0.17004548339934378</v>
      </c>
      <c r="U55" s="379">
        <f>IF(ISERROR(IRR($F54:U54)),"NA",IRR($F54:U54))</f>
        <v>-0.16591274879660645</v>
      </c>
      <c r="V55" s="379">
        <f>IF(ISERROR(IRR($F54:V54)),"NA",IRR($F54:V54))</f>
        <v>-7.3046290831527916E-2</v>
      </c>
      <c r="W55" s="379">
        <f>IF(ISERROR(IRR($F54:W54)),"NA",IRR($F54:W54))</f>
        <v>-4.9367249908246702E-2</v>
      </c>
      <c r="X55" s="379">
        <f>IF(ISERROR(IRR($F54:X54)),"NA",IRR($F54:X54))</f>
        <v>-3.2966791375376725E-2</v>
      </c>
      <c r="Y55" s="379">
        <f>IF(ISERROR(IRR($F54:Y54)),"NA",IRR($F54:Y54))</f>
        <v>-2.0686880588843048E-2</v>
      </c>
      <c r="Z55" s="379">
        <f>IF(ISERROR(IRR($F54:Z54)),"NA",IRR($F54:Z54))</f>
        <v>-7.2790903927874018E-3</v>
      </c>
      <c r="AA55" s="379">
        <f>IF(ISERROR(IRR($F54:AA54)),"NA",IRR($F54:AA54))</f>
        <v>-7.255068886598437E-3</v>
      </c>
      <c r="AB55" s="379">
        <f>IF(ISERROR(IRR($F54:AB54)),"NA",IRR($F54:AB54))</f>
        <v>-7.255068886598437E-3</v>
      </c>
      <c r="AC55" s="379">
        <f>IF(ISERROR(IRR($F54:AC54)),"NA",IRR($F54:AC54))</f>
        <v>-7.255068886598437E-3</v>
      </c>
      <c r="AD55" s="379">
        <f>IF(ISERROR(IRR($F54:AD54)),"NA",IRR($F54:AD54))</f>
        <v>-7.255068886598437E-3</v>
      </c>
      <c r="AE55" s="379">
        <f>IF(ISERROR(IRR($F54:AE54)),"NA",IRR($F54:AE54))</f>
        <v>-7.255068886598437E-3</v>
      </c>
      <c r="AF55" s="379">
        <f>IF(ISERROR(IRR($F54:AF54)),"NA",IRR($F54:AF54))</f>
        <v>-7.255068886598437E-3</v>
      </c>
      <c r="AG55" s="379">
        <f>IF(ISERROR(IRR($F54:AG54)),"NA",IRR($F54:AG54))</f>
        <v>-7.255068886598437E-3</v>
      </c>
      <c r="AH55" s="379">
        <f>IF(ISERROR(IRR($F54:AH54)),"NA",IRR($F54:AH54))</f>
        <v>-7.255068886598437E-3</v>
      </c>
      <c r="AI55" s="379">
        <f>IF(ISERROR(IRR($F54:AI54)),"NA",IRR($F54:AI54))</f>
        <v>-7.255068886598437E-3</v>
      </c>
      <c r="AJ55" s="379">
        <f>IF(ISERROR(IRR($F54:AJ54)),"NA",IRR($F54:AJ54))</f>
        <v>-7.255068886598437E-3</v>
      </c>
    </row>
    <row r="56" spans="1:36" s="30" customFormat="1" ht="16">
      <c r="B56" s="56"/>
      <c r="C56" s="56"/>
      <c r="D56" s="56"/>
      <c r="E56" s="54"/>
      <c r="F56" s="8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row>
    <row r="57" spans="1:36" s="30" customFormat="1" ht="17">
      <c r="B57" s="388" t="s">
        <v>158</v>
      </c>
      <c r="C57" s="388"/>
      <c r="D57" s="388"/>
      <c r="E57" s="41"/>
      <c r="F57" s="341"/>
      <c r="G57" s="55">
        <f t="shared" ref="G57:AJ57" si="17">-G142</f>
        <v>-12770914.0625</v>
      </c>
      <c r="H57" s="55">
        <f t="shared" si="17"/>
        <v>-3258261.0887500001</v>
      </c>
      <c r="I57" s="55">
        <f t="shared" si="17"/>
        <v>-1964213.0225</v>
      </c>
      <c r="J57" s="55">
        <f t="shared" si="17"/>
        <v>-1187145.5162499999</v>
      </c>
      <c r="K57" s="55">
        <f t="shared" si="17"/>
        <v>-1185407.115</v>
      </c>
      <c r="L57" s="55">
        <f t="shared" si="17"/>
        <v>-602448.91249999998</v>
      </c>
      <c r="M57" s="55">
        <f t="shared" si="17"/>
        <v>-20119.927499999998</v>
      </c>
      <c r="N57" s="55">
        <f t="shared" si="17"/>
        <v>-19726.935000000001</v>
      </c>
      <c r="O57" s="55">
        <f t="shared" si="17"/>
        <v>-19678.616249999999</v>
      </c>
      <c r="P57" s="55">
        <f t="shared" si="17"/>
        <v>-19661.436249999999</v>
      </c>
      <c r="Q57" s="55">
        <f t="shared" si="17"/>
        <v>-19678.616249999999</v>
      </c>
      <c r="R57" s="55">
        <f t="shared" si="17"/>
        <v>-19661.436249999999</v>
      </c>
      <c r="S57" s="55">
        <f t="shared" si="17"/>
        <v>-19678.616249999999</v>
      </c>
      <c r="T57" s="55">
        <f t="shared" si="17"/>
        <v>-19661.436249999999</v>
      </c>
      <c r="U57" s="55">
        <f t="shared" si="17"/>
        <v>-19678.616249999999</v>
      </c>
      <c r="V57" s="55">
        <f t="shared" si="17"/>
        <v>-14910.092499999999</v>
      </c>
      <c r="W57" s="55">
        <f t="shared" si="17"/>
        <v>-10159.8225</v>
      </c>
      <c r="X57" s="55">
        <f t="shared" si="17"/>
        <v>-10158.748749999999</v>
      </c>
      <c r="Y57" s="55">
        <f t="shared" si="17"/>
        <v>-10159.8225</v>
      </c>
      <c r="Z57" s="55">
        <f t="shared" si="17"/>
        <v>-10158.748749999999</v>
      </c>
      <c r="AA57" s="55">
        <f t="shared" si="17"/>
        <v>0</v>
      </c>
      <c r="AB57" s="55">
        <f t="shared" si="17"/>
        <v>0</v>
      </c>
      <c r="AC57" s="55">
        <f t="shared" si="17"/>
        <v>0</v>
      </c>
      <c r="AD57" s="55">
        <f t="shared" si="17"/>
        <v>0</v>
      </c>
      <c r="AE57" s="55">
        <f t="shared" si="17"/>
        <v>0</v>
      </c>
      <c r="AF57" s="55">
        <f t="shared" si="17"/>
        <v>0</v>
      </c>
      <c r="AG57" s="55">
        <f t="shared" si="17"/>
        <v>0</v>
      </c>
      <c r="AH57" s="55">
        <f t="shared" si="17"/>
        <v>0</v>
      </c>
      <c r="AI57" s="55">
        <f t="shared" si="17"/>
        <v>0</v>
      </c>
      <c r="AJ57" s="55">
        <f t="shared" si="17"/>
        <v>0</v>
      </c>
    </row>
    <row r="58" spans="1:36" s="30" customFormat="1" ht="16">
      <c r="B58" s="35" t="s">
        <v>294</v>
      </c>
      <c r="C58" s="35"/>
      <c r="D58" s="35"/>
      <c r="F58" s="88"/>
      <c r="G58" s="86">
        <f>IF(Inputs!$G$69="No",0,(G$44+G$57))</f>
        <v>-11824883.443180658</v>
      </c>
      <c r="H58" s="86">
        <f>IF(Inputs!$G$69="No",0,(H$44+H$57))</f>
        <v>-2304240.5904172771</v>
      </c>
      <c r="I58" s="86">
        <f>IF(Inputs!$G$69="No",0,(I$44+I$57))</f>
        <v>-999914.49151095853</v>
      </c>
      <c r="J58" s="86">
        <f>IF(Inputs!$G$69="No",0,(J$44+J$57))</f>
        <v>-210114.07930639829</v>
      </c>
      <c r="K58" s="86">
        <f>IF(Inputs!$G$69="No",0,(K$44+K$57))</f>
        <v>-193009.29341995181</v>
      </c>
      <c r="L58" s="86">
        <f>IF(Inputs!$G$69="No",0,(L$44+L$57))</f>
        <v>408140.09852647688</v>
      </c>
      <c r="M58" s="86">
        <f>IF(Inputs!$G$69="No",0,(M$44+M$57))</f>
        <v>1011690.0181764788</v>
      </c>
      <c r="N58" s="86">
        <f>IF(Inputs!$G$69="No",0,(N$44+N$57))</f>
        <v>1036553.2013113713</v>
      </c>
      <c r="O58" s="86">
        <f>IF(Inputs!$G$69="No",0,(O$44+O$57))</f>
        <v>1064556.0709566274</v>
      </c>
      <c r="P58" s="86">
        <f>IF(Inputs!$G$69="No",0,(P$44+P$57))</f>
        <v>1096263.9546623509</v>
      </c>
      <c r="Q58" s="86">
        <f>IF(Inputs!$G$69="No",0,(Q$44+Q$57))</f>
        <v>1131943.2834759457</v>
      </c>
      <c r="R58" s="86">
        <f>IF(Inputs!$G$69="No",0,(R$44+R$57))</f>
        <v>1171951.5429764048</v>
      </c>
      <c r="S58" s="86">
        <f>IF(Inputs!$G$69="No",0,(S$44+S$57))</f>
        <v>1216529.2333655481</v>
      </c>
      <c r="T58" s="86">
        <f>IF(Inputs!$G$69="No",0,(T$44+T$57))</f>
        <v>1266076.1847637009</v>
      </c>
      <c r="U58" s="86">
        <f>IF(Inputs!$G$69="No",0,(U$44+U$57))</f>
        <v>1320878.2130376589</v>
      </c>
      <c r="V58" s="86">
        <f>IF(Inputs!$G$69="No",0,(V$44+V$57))</f>
        <v>1380988.3639164022</v>
      </c>
      <c r="W58" s="86">
        <f>IF(Inputs!$G$69="No",0,(W$44+W$57))</f>
        <v>1351085.4389764841</v>
      </c>
      <c r="X58" s="86">
        <f>IF(Inputs!$G$69="No",0,(X$44+X$57))</f>
        <v>1321365.636563529</v>
      </c>
      <c r="Y58" s="86">
        <f>IF(Inputs!$G$69="No",0,(Y$44+Y$57))</f>
        <v>1291424.5026509766</v>
      </c>
      <c r="Z58" s="86">
        <f>IF(Inputs!$G$69="No",0,(Z$44+Z$57))</f>
        <v>1256936.200954095</v>
      </c>
      <c r="AA58" s="86">
        <f>IF(Inputs!$G$69="No",0,(AA$44+AA$57))</f>
        <v>3749.9999999999982</v>
      </c>
      <c r="AB58" s="86">
        <f>IF(Inputs!$G$69="No",0,(AB$44+AB$57))</f>
        <v>0</v>
      </c>
      <c r="AC58" s="86">
        <f>IF(Inputs!$G$69="No",0,(AC$44+AC$57))</f>
        <v>0</v>
      </c>
      <c r="AD58" s="86">
        <f>IF(Inputs!$G$69="No",0,(AD$44+AD$57))</f>
        <v>0</v>
      </c>
      <c r="AE58" s="86">
        <f>IF(Inputs!$G$69="No",0,(AE$44+AE$57))</f>
        <v>0</v>
      </c>
      <c r="AF58" s="86">
        <f>IF(Inputs!$G$69="No",0,(AF$44+AF$57))</f>
        <v>0</v>
      </c>
      <c r="AG58" s="86">
        <f>IF(Inputs!$G$69="No",0,(AG$44+AG$57))</f>
        <v>0</v>
      </c>
      <c r="AH58" s="86">
        <f>IF(Inputs!$G$69="No",0,(AH$44+AH$57))</f>
        <v>0</v>
      </c>
      <c r="AI58" s="86">
        <f>IF(Inputs!$G$69="No",0,(AI$44+AI$57))</f>
        <v>0</v>
      </c>
      <c r="AJ58" s="86">
        <f>IF(Inputs!$G$69="No",0,(AJ$44+AJ$57))</f>
        <v>0</v>
      </c>
    </row>
    <row r="59" spans="1:36" s="30" customFormat="1" ht="16">
      <c r="B59" s="53"/>
      <c r="C59" s="53"/>
      <c r="D59" s="53"/>
      <c r="F59" s="88"/>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row>
    <row r="60" spans="1:36" s="30" customFormat="1" ht="16">
      <c r="B60" s="35" t="s">
        <v>295</v>
      </c>
      <c r="C60" s="35"/>
      <c r="D60" s="35"/>
      <c r="F60" s="342" t="str">
        <f>Inputs!G71</f>
        <v>As Generated</v>
      </c>
      <c r="G60" s="86">
        <f t="shared" ref="G60:AJ60" si="18">IF($F$60="as generated",G$58,G$157)</f>
        <v>-11824883.443180658</v>
      </c>
      <c r="H60" s="86">
        <f t="shared" si="18"/>
        <v>-2304240.5904172771</v>
      </c>
      <c r="I60" s="86">
        <f t="shared" si="18"/>
        <v>-999914.49151095853</v>
      </c>
      <c r="J60" s="86">
        <f t="shared" si="18"/>
        <v>-210114.07930639829</v>
      </c>
      <c r="K60" s="86">
        <f t="shared" si="18"/>
        <v>-193009.29341995181</v>
      </c>
      <c r="L60" s="86">
        <f t="shared" si="18"/>
        <v>408140.09852647688</v>
      </c>
      <c r="M60" s="86">
        <f t="shared" si="18"/>
        <v>1011690.0181764788</v>
      </c>
      <c r="N60" s="86">
        <f t="shared" si="18"/>
        <v>1036553.2013113713</v>
      </c>
      <c r="O60" s="86">
        <f t="shared" si="18"/>
        <v>1064556.0709566274</v>
      </c>
      <c r="P60" s="86">
        <f t="shared" si="18"/>
        <v>1096263.9546623509</v>
      </c>
      <c r="Q60" s="86">
        <f t="shared" si="18"/>
        <v>1131943.2834759457</v>
      </c>
      <c r="R60" s="86">
        <f t="shared" si="18"/>
        <v>1171951.5429764048</v>
      </c>
      <c r="S60" s="86">
        <f t="shared" si="18"/>
        <v>1216529.2333655481</v>
      </c>
      <c r="T60" s="86">
        <f t="shared" si="18"/>
        <v>1266076.1847637009</v>
      </c>
      <c r="U60" s="86">
        <f t="shared" si="18"/>
        <v>1320878.2130376589</v>
      </c>
      <c r="V60" s="86">
        <f t="shared" si="18"/>
        <v>1380988.3639164022</v>
      </c>
      <c r="W60" s="86">
        <f t="shared" si="18"/>
        <v>1351085.4389764841</v>
      </c>
      <c r="X60" s="86">
        <f t="shared" si="18"/>
        <v>1321365.636563529</v>
      </c>
      <c r="Y60" s="86">
        <f t="shared" si="18"/>
        <v>1291424.5026509766</v>
      </c>
      <c r="Z60" s="86">
        <f t="shared" si="18"/>
        <v>1256936.200954095</v>
      </c>
      <c r="AA60" s="86">
        <f t="shared" si="18"/>
        <v>3749.9999999999982</v>
      </c>
      <c r="AB60" s="86">
        <f t="shared" si="18"/>
        <v>0</v>
      </c>
      <c r="AC60" s="86">
        <f t="shared" si="18"/>
        <v>0</v>
      </c>
      <c r="AD60" s="86">
        <f t="shared" si="18"/>
        <v>0</v>
      </c>
      <c r="AE60" s="86">
        <f t="shared" si="18"/>
        <v>0</v>
      </c>
      <c r="AF60" s="86">
        <f t="shared" si="18"/>
        <v>0</v>
      </c>
      <c r="AG60" s="86">
        <f t="shared" si="18"/>
        <v>0</v>
      </c>
      <c r="AH60" s="86">
        <f t="shared" si="18"/>
        <v>0</v>
      </c>
      <c r="AI60" s="86">
        <f t="shared" si="18"/>
        <v>0</v>
      </c>
      <c r="AJ60" s="86">
        <f t="shared" si="18"/>
        <v>0</v>
      </c>
    </row>
    <row r="61" spans="1:36" s="30" customFormat="1" ht="16">
      <c r="B61" s="35" t="s">
        <v>296</v>
      </c>
      <c r="C61" s="35"/>
      <c r="D61" s="35"/>
      <c r="F61" s="342" t="str">
        <f>Inputs!G73</f>
        <v>As Generated</v>
      </c>
      <c r="G61" s="86">
        <f t="shared" ref="G61:AJ61" si="19">IF($F$61="as generated",G$58,G$165)</f>
        <v>-11824883.443180658</v>
      </c>
      <c r="H61" s="86">
        <f t="shared" si="19"/>
        <v>-2304240.5904172771</v>
      </c>
      <c r="I61" s="86">
        <f t="shared" si="19"/>
        <v>-999914.49151095853</v>
      </c>
      <c r="J61" s="86">
        <f t="shared" si="19"/>
        <v>-210114.07930639829</v>
      </c>
      <c r="K61" s="86">
        <f t="shared" si="19"/>
        <v>-193009.29341995181</v>
      </c>
      <c r="L61" s="86">
        <f t="shared" si="19"/>
        <v>408140.09852647688</v>
      </c>
      <c r="M61" s="86">
        <f t="shared" si="19"/>
        <v>1011690.0181764788</v>
      </c>
      <c r="N61" s="86">
        <f t="shared" si="19"/>
        <v>1036553.2013113713</v>
      </c>
      <c r="O61" s="86">
        <f t="shared" si="19"/>
        <v>1064556.0709566274</v>
      </c>
      <c r="P61" s="86">
        <f t="shared" si="19"/>
        <v>1096263.9546623509</v>
      </c>
      <c r="Q61" s="86">
        <f t="shared" si="19"/>
        <v>1131943.2834759457</v>
      </c>
      <c r="R61" s="86">
        <f t="shared" si="19"/>
        <v>1171951.5429764048</v>
      </c>
      <c r="S61" s="86">
        <f t="shared" si="19"/>
        <v>1216529.2333655481</v>
      </c>
      <c r="T61" s="86">
        <f t="shared" si="19"/>
        <v>1266076.1847637009</v>
      </c>
      <c r="U61" s="86">
        <f t="shared" si="19"/>
        <v>1320878.2130376589</v>
      </c>
      <c r="V61" s="86">
        <f t="shared" si="19"/>
        <v>1380988.3639164022</v>
      </c>
      <c r="W61" s="86">
        <f t="shared" si="19"/>
        <v>1351085.4389764841</v>
      </c>
      <c r="X61" s="86">
        <f t="shared" si="19"/>
        <v>1321365.636563529</v>
      </c>
      <c r="Y61" s="86">
        <f t="shared" si="19"/>
        <v>1291424.5026509766</v>
      </c>
      <c r="Z61" s="86">
        <f t="shared" si="19"/>
        <v>1256936.200954095</v>
      </c>
      <c r="AA61" s="86">
        <f t="shared" si="19"/>
        <v>3749.9999999999982</v>
      </c>
      <c r="AB61" s="86">
        <f t="shared" si="19"/>
        <v>0</v>
      </c>
      <c r="AC61" s="86">
        <f t="shared" si="19"/>
        <v>0</v>
      </c>
      <c r="AD61" s="86">
        <f t="shared" si="19"/>
        <v>0</v>
      </c>
      <c r="AE61" s="86">
        <f t="shared" si="19"/>
        <v>0</v>
      </c>
      <c r="AF61" s="86">
        <f t="shared" si="19"/>
        <v>0</v>
      </c>
      <c r="AG61" s="86">
        <f t="shared" si="19"/>
        <v>0</v>
      </c>
      <c r="AH61" s="86">
        <f t="shared" si="19"/>
        <v>0</v>
      </c>
      <c r="AI61" s="86">
        <f t="shared" si="19"/>
        <v>0</v>
      </c>
      <c r="AJ61" s="86">
        <f t="shared" si="19"/>
        <v>0</v>
      </c>
    </row>
    <row r="62" spans="1:36" s="30" customFormat="1" ht="16">
      <c r="B62" s="340"/>
      <c r="C62" s="340"/>
      <c r="D62" s="340"/>
      <c r="F62" s="88"/>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row>
    <row r="63" spans="1:36" s="39" customFormat="1" ht="16">
      <c r="B63" s="37" t="s">
        <v>142</v>
      </c>
      <c r="C63" s="37"/>
      <c r="D63" s="37"/>
      <c r="E63" s="333"/>
      <c r="G63" s="86">
        <f>IF(Inputs!$G$69="No",0,-(G$60+G$64)*Inputs!$G$70)</f>
        <v>3786918.9226786052</v>
      </c>
      <c r="H63" s="86">
        <f>IF(Inputs!$G$69="No",0,-(H$60+H$64)*Inputs!$G$70)</f>
        <v>737933.04908113298</v>
      </c>
      <c r="I63" s="86">
        <f>IF(Inputs!$G$69="No",0,-(I$60+I$64)*Inputs!$G$70)</f>
        <v>320222.61590638448</v>
      </c>
      <c r="J63" s="86">
        <f>IF(Inputs!$G$69="No",0,-(J$60+J$64)*Inputs!$G$70)</f>
        <v>67289.033897874047</v>
      </c>
      <c r="K63" s="86">
        <f>IF(Inputs!$G$69="No",0,-(K$60+K$64)*Inputs!$G$70)</f>
        <v>61811.226217739553</v>
      </c>
      <c r="L63" s="86">
        <f>IF(Inputs!$G$69="No",0,-(L$60+L$64)*Inputs!$G$70)</f>
        <v>-130706.86655310422</v>
      </c>
      <c r="M63" s="86">
        <f>IF(Inputs!$G$69="No",0,-(M$60+M$64)*Inputs!$G$70)</f>
        <v>-323993.72832101729</v>
      </c>
      <c r="N63" s="86">
        <f>IF(Inputs!$G$69="No",0,-(N$60+N$64)*Inputs!$G$70)</f>
        <v>-331956.16271996661</v>
      </c>
      <c r="O63" s="86">
        <f>IF(Inputs!$G$69="No",0,-(O$60+O$64)*Inputs!$G$70)</f>
        <v>-340924.08172385988</v>
      </c>
      <c r="P63" s="86">
        <f>IF(Inputs!$G$69="No",0,-(P$60+P$64)*Inputs!$G$70)</f>
        <v>-351078.53148061788</v>
      </c>
      <c r="Q63" s="86">
        <f>IF(Inputs!$G$69="No",0,-(Q$60+Q$64)*Inputs!$G$70)</f>
        <v>-362504.83653317159</v>
      </c>
      <c r="R63" s="86">
        <f>IF(Inputs!$G$69="No",0,-(R$60+R$64)*Inputs!$G$70)</f>
        <v>-375317.4816381936</v>
      </c>
      <c r="S63" s="86">
        <f>IF(Inputs!$G$69="No",0,-(S$60+S$64)*Inputs!$G$70)</f>
        <v>-389593.48698531679</v>
      </c>
      <c r="T63" s="86">
        <f>IF(Inputs!$G$69="No",0,-(T$60+T$64)*Inputs!$G$70)</f>
        <v>-405460.89817057515</v>
      </c>
      <c r="U63" s="86">
        <f>IF(Inputs!$G$69="No",0,-(U$60+U$64)*Inputs!$G$70)</f>
        <v>-423011.24772531021</v>
      </c>
      <c r="V63" s="86">
        <f>IF(Inputs!$G$69="No",0,-(V$60+V$64)*Inputs!$G$70)</f>
        <v>-442261.52354422776</v>
      </c>
      <c r="W63" s="86">
        <f>IF(Inputs!$G$69="No",0,-(W$60+W$64)*Inputs!$G$70)</f>
        <v>-432685.11183221906</v>
      </c>
      <c r="X63" s="86">
        <f>IF(Inputs!$G$69="No",0,-(X$60+X$64)*Inputs!$G$70)</f>
        <v>-423167.34510947019</v>
      </c>
      <c r="Y63" s="86">
        <f>IF(Inputs!$G$69="No",0,-(Y$60+Y$64)*Inputs!$G$70)</f>
        <v>-413578.69697397522</v>
      </c>
      <c r="Z63" s="86">
        <f>IF(Inputs!$G$69="No",0,-(Z$60+Z$64)*Inputs!$G$70)</f>
        <v>-402533.81835554895</v>
      </c>
      <c r="AA63" s="86">
        <f>IF(Inputs!$G$69="No",0,-(AA$60+AA$64)*Inputs!$G$70)</f>
        <v>-1200.9374999999993</v>
      </c>
      <c r="AB63" s="86">
        <f>IF(Inputs!$G$69="No",0,-(AB$60+AB$64)*Inputs!$G$70)</f>
        <v>0</v>
      </c>
      <c r="AC63" s="86">
        <f>IF(Inputs!$G$69="No",0,-(AC$60+AC$64)*Inputs!$G$70)</f>
        <v>0</v>
      </c>
      <c r="AD63" s="86">
        <f>IF(Inputs!$G$69="No",0,-(AD$60+AD$64)*Inputs!$G$70)</f>
        <v>0</v>
      </c>
      <c r="AE63" s="86">
        <f>IF(Inputs!$G$69="No",0,-(AE$60+AE$64)*Inputs!$G$70)</f>
        <v>0</v>
      </c>
      <c r="AF63" s="86">
        <f>IF(Inputs!$G$69="No",0,-(AF$60+AF$64)*Inputs!$G$70)</f>
        <v>0</v>
      </c>
      <c r="AG63" s="86">
        <f>IF(Inputs!$G$69="No",0,-(AG$60+AG$64)*Inputs!$G$70)</f>
        <v>0</v>
      </c>
      <c r="AH63" s="86">
        <f>IF(Inputs!$G$69="No",0,-(AH$60+AH$64)*Inputs!$G$70)</f>
        <v>0</v>
      </c>
      <c r="AI63" s="86">
        <f>IF(Inputs!$G$69="No",0,-(AI$60+AI$64)*Inputs!$G$70)</f>
        <v>0</v>
      </c>
      <c r="AJ63" s="86">
        <f>IF(Inputs!$G$69="No",0,-(AJ$60+AJ$64)*Inputs!$G$70)</f>
        <v>0</v>
      </c>
    </row>
    <row r="64" spans="1:36" s="39" customFormat="1" ht="16">
      <c r="B64" s="37" t="s">
        <v>191</v>
      </c>
      <c r="C64" s="37"/>
      <c r="D64" s="37"/>
      <c r="G64" s="86">
        <f>IF(Inputs!$G$69="No",0,-(G$61-IF(AND(Inputs!$Q$37="Cash",Inputs!$Q$39="No"),'Cash Flow'!G$21,0))*Inputs!$G$72)</f>
        <v>1005115.092670356</v>
      </c>
      <c r="H64" s="86">
        <f>IF(Inputs!$G$69="No",0,-(H$61-IF(AND(Inputs!$Q$37="Cash",Inputs!$Q$39="No"),'Cash Flow'!H$21,0))*Inputs!$G$72)</f>
        <v>195860.45018546857</v>
      </c>
      <c r="I64" s="86">
        <f>IF(Inputs!$G$69="No",0,-(I$61-IF(AND(Inputs!$Q$37="Cash",Inputs!$Q$39="No"),'Cash Flow'!I$21,0))*Inputs!$G$72)</f>
        <v>84992.73177843148</v>
      </c>
      <c r="J64" s="86">
        <f>IF(Inputs!$G$69="No",0,-(J$61-IF(AND(Inputs!$Q$37="Cash",Inputs!$Q$39="No"),'Cash Flow'!J$21,0))*Inputs!$G$72)</f>
        <v>17859.696741043856</v>
      </c>
      <c r="K64" s="86">
        <f>IF(Inputs!$G$69="No",0,-(K$61-IF(AND(Inputs!$Q$37="Cash",Inputs!$Q$39="No"),'Cash Flow'!K$21,0))*Inputs!$G$72)</f>
        <v>16405.789940695904</v>
      </c>
      <c r="L64" s="86">
        <f>IF(Inputs!$G$69="No",0,-(L$61-IF(AND(Inputs!$Q$37="Cash",Inputs!$Q$39="No"),'Cash Flow'!L$21,0))*Inputs!$G$72)</f>
        <v>-34691.908374750536</v>
      </c>
      <c r="M64" s="86">
        <f>IF(Inputs!$G$69="No",0,-(M$61-IF(AND(Inputs!$Q$37="Cash",Inputs!$Q$39="No"),'Cash Flow'!M$21,0))*Inputs!$G$72)</f>
        <v>-85993.651545000699</v>
      </c>
      <c r="N64" s="86">
        <f>IF(Inputs!$G$69="No",0,-(N$61-IF(AND(Inputs!$Q$37="Cash",Inputs!$Q$39="No"),'Cash Flow'!N$21,0))*Inputs!$G$72)</f>
        <v>-88107.022111466562</v>
      </c>
      <c r="O64" s="86">
        <f>IF(Inputs!$G$69="No",0,-(O$61-IF(AND(Inputs!$Q$37="Cash",Inputs!$Q$39="No"),'Cash Flow'!O$21,0))*Inputs!$G$72)</f>
        <v>-90487.266031313338</v>
      </c>
      <c r="P64" s="86">
        <f>IF(Inputs!$G$69="No",0,-(P$61-IF(AND(Inputs!$Q$37="Cash",Inputs!$Q$39="No"),'Cash Flow'!P$21,0))*Inputs!$G$72)</f>
        <v>-93182.436146299835</v>
      </c>
      <c r="Q64" s="86">
        <f>IF(Inputs!$G$69="No",0,-(Q$61-IF(AND(Inputs!$Q$37="Cash",Inputs!$Q$39="No"),'Cash Flow'!Q$21,0))*Inputs!$G$72)</f>
        <v>-96215.179095455387</v>
      </c>
      <c r="R64" s="86">
        <f>IF(Inputs!$G$69="No",0,-(R$61-IF(AND(Inputs!$Q$37="Cash",Inputs!$Q$39="No"),'Cash Flow'!R$21,0))*Inputs!$G$72)</f>
        <v>-99615.881152994407</v>
      </c>
      <c r="S64" s="86">
        <f>IF(Inputs!$G$69="No",0,-(S$61-IF(AND(Inputs!$Q$37="Cash",Inputs!$Q$39="No"),'Cash Flow'!S$21,0))*Inputs!$G$72)</f>
        <v>-103404.9848360716</v>
      </c>
      <c r="T64" s="86">
        <f>IF(Inputs!$G$69="No",0,-(T$61-IF(AND(Inputs!$Q$37="Cash",Inputs!$Q$39="No"),'Cash Flow'!T$21,0))*Inputs!$G$72)</f>
        <v>-107616.47570491458</v>
      </c>
      <c r="U64" s="86">
        <f>IF(Inputs!$G$69="No",0,-(U$61-IF(AND(Inputs!$Q$37="Cash",Inputs!$Q$39="No"),'Cash Flow'!U$21,0))*Inputs!$G$72)</f>
        <v>-112274.64810820101</v>
      </c>
      <c r="V64" s="86">
        <f>IF(Inputs!$G$69="No",0,-(V$61-IF(AND(Inputs!$Q$37="Cash",Inputs!$Q$39="No"),'Cash Flow'!V$21,0))*Inputs!$G$72)</f>
        <v>-117384.01093289419</v>
      </c>
      <c r="W64" s="86">
        <f>IF(Inputs!$G$69="No",0,-(W$61-IF(AND(Inputs!$Q$37="Cash",Inputs!$Q$39="No"),'Cash Flow'!W$21,0))*Inputs!$G$72)</f>
        <v>-114842.26231300116</v>
      </c>
      <c r="X64" s="86">
        <f>IF(Inputs!$G$69="No",0,-(X$61-IF(AND(Inputs!$Q$37="Cash",Inputs!$Q$39="No"),'Cash Flow'!X$21,0))*Inputs!$G$72)</f>
        <v>-112316.07910789998</v>
      </c>
      <c r="Y64" s="86">
        <f>IF(Inputs!$G$69="No",0,-(Y$61-IF(AND(Inputs!$Q$37="Cash",Inputs!$Q$39="No"),'Cash Flow'!Y$21,0))*Inputs!$G$72)</f>
        <v>-109771.08272533302</v>
      </c>
      <c r="Z64" s="86">
        <f>IF(Inputs!$G$69="No",0,-(Z$61-IF(AND(Inputs!$Q$37="Cash",Inputs!$Q$39="No"),'Cash Flow'!Z$21,0))*Inputs!$G$72)</f>
        <v>-106839.57708109808</v>
      </c>
      <c r="AA64" s="86">
        <f>IF(Inputs!$G$69="No",0,-(AA$61-IF(AND(Inputs!$Q$37="Cash",Inputs!$Q$39="No"),'Cash Flow'!AA$21,0))*Inputs!$G$72)</f>
        <v>-318.74999999999989</v>
      </c>
      <c r="AB64" s="86">
        <f>IF(Inputs!$G$69="No",0,-(AB$61-IF(AND(Inputs!$Q$37="Cash",Inputs!$Q$39="No"),'Cash Flow'!AB$21,0))*Inputs!$G$72)</f>
        <v>0</v>
      </c>
      <c r="AC64" s="86">
        <f>IF(Inputs!$G$69="No",0,-(AC$61-IF(AND(Inputs!$Q$37="Cash",Inputs!$Q$39="No"),'Cash Flow'!AC$21,0))*Inputs!$G$72)</f>
        <v>0</v>
      </c>
      <c r="AD64" s="86">
        <f>IF(Inputs!$G$69="No",0,-(AD$61-IF(AND(Inputs!$Q$37="Cash",Inputs!$Q$39="No"),'Cash Flow'!AD$21,0))*Inputs!$G$72)</f>
        <v>0</v>
      </c>
      <c r="AE64" s="86">
        <f>IF(Inputs!$G$69="No",0,-(AE$61-IF(AND(Inputs!$Q$37="Cash",Inputs!$Q$39="No"),'Cash Flow'!AE$21,0))*Inputs!$G$72)</f>
        <v>0</v>
      </c>
      <c r="AF64" s="86">
        <f>IF(Inputs!$G$69="No",0,-(AF$61-IF(AND(Inputs!$Q$37="Cash",Inputs!$Q$39="No"),'Cash Flow'!AF$21,0))*Inputs!$G$72)</f>
        <v>0</v>
      </c>
      <c r="AG64" s="86">
        <f>IF(Inputs!$G$69="No",0,-(AG$61-IF(AND(Inputs!$Q$37="Cash",Inputs!$Q$39="No"),'Cash Flow'!AG$21,0))*Inputs!$G$72)</f>
        <v>0</v>
      </c>
      <c r="AH64" s="86">
        <f>IF(Inputs!$G$69="No",0,-(AH$61-IF(AND(Inputs!$Q$37="Cash",Inputs!$Q$39="No"),'Cash Flow'!AH$21,0))*Inputs!$G$72)</f>
        <v>0</v>
      </c>
      <c r="AI64" s="86">
        <f>IF(Inputs!$G$69="No",0,-(AI$61-IF(AND(Inputs!$Q$37="Cash",Inputs!$Q$39="No"),'Cash Flow'!AI$21,0))*Inputs!$G$72)</f>
        <v>0</v>
      </c>
      <c r="AJ64" s="86">
        <f>IF(Inputs!$G$69="No",0,-(AJ$61-IF(AND(Inputs!$Q$37="Cash",Inputs!$Q$39="No"),'Cash Flow'!AJ$21,0))*Inputs!$G$72)</f>
        <v>0</v>
      </c>
    </row>
    <row r="65" spans="2:36" s="30" customFormat="1" ht="16">
      <c r="B65" s="37" t="s">
        <v>280</v>
      </c>
      <c r="C65" s="37"/>
      <c r="D65" s="37"/>
      <c r="E65" s="333"/>
      <c r="F65" s="39"/>
      <c r="G65" s="43">
        <f>IF(AND(Inputs!$Q$18="Cost-Based",Inputs!$Q$19="Cash Grant",G$2=1),Inputs!$Q$22,IF(Inputs!$G$71="as generated",'Cash Flow'!G$172,-G$179))</f>
        <v>7050000</v>
      </c>
      <c r="H65" s="43">
        <f>IF(AND(Inputs!$Q$18="Cost-Based",Inputs!$Q$19="Cash Grant",H$2=1),Inputs!$Q$22,IF(Inputs!$G$71="as generated",'Cash Flow'!H$172,-H$179))</f>
        <v>0</v>
      </c>
      <c r="I65" s="43">
        <f>IF(AND(Inputs!$Q$18="Cost-Based",Inputs!$Q$19="Cash Grant",I$2=1),Inputs!$Q$22,IF(Inputs!$G$71="as generated",'Cash Flow'!I$172,-I$179))</f>
        <v>0</v>
      </c>
      <c r="J65" s="43">
        <f>IF(AND(Inputs!$Q$18="Cost-Based",Inputs!$Q$19="Cash Grant",J$2=1),Inputs!$Q$22,IF(Inputs!$G$71="as generated",'Cash Flow'!J$172,-J$179))</f>
        <v>0</v>
      </c>
      <c r="K65" s="43">
        <f>IF(AND(Inputs!$Q$18="Cost-Based",Inputs!$Q$19="Cash Grant",K$2=1),Inputs!$Q$22,IF(Inputs!$G$71="as generated",'Cash Flow'!K$172,-K$179))</f>
        <v>0</v>
      </c>
      <c r="L65" s="43">
        <f>IF(AND(Inputs!$Q$18="Cost-Based",Inputs!$Q$19="Cash Grant",L$2=1),Inputs!$Q$22,IF(Inputs!$G$71="as generated",'Cash Flow'!L$172,-L$179))</f>
        <v>0</v>
      </c>
      <c r="M65" s="43">
        <f>IF(AND(Inputs!$Q$18="Cost-Based",Inputs!$Q$19="Cash Grant",M$2=1),Inputs!$Q$22,IF(Inputs!$G$71="as generated",'Cash Flow'!M$172,-M$179))</f>
        <v>0</v>
      </c>
      <c r="N65" s="43">
        <f>IF(AND(Inputs!$Q$18="Cost-Based",Inputs!$Q$19="Cash Grant",N$2=1),Inputs!$Q$22,IF(Inputs!$G$71="as generated",'Cash Flow'!N$172,-N$179))</f>
        <v>0</v>
      </c>
      <c r="O65" s="43">
        <f>IF(AND(Inputs!$Q$18="Cost-Based",Inputs!$Q$19="Cash Grant",O$2=1),Inputs!$Q$22,IF(Inputs!$G$71="as generated",'Cash Flow'!O$172,-O$179))</f>
        <v>0</v>
      </c>
      <c r="P65" s="43">
        <f>IF(AND(Inputs!$Q$18="Cost-Based",Inputs!$Q$19="Cash Grant",P$2=1),Inputs!$Q$22,IF(Inputs!$G$71="as generated",'Cash Flow'!P$172,-P$179))</f>
        <v>0</v>
      </c>
      <c r="Q65" s="43">
        <f>IF(AND(Inputs!$Q$18="Cost-Based",Inputs!$Q$19="Cash Grant",Q$2=1),Inputs!$Q$22,IF(Inputs!$G$71="as generated",'Cash Flow'!Q$172,-Q$179))</f>
        <v>0</v>
      </c>
      <c r="R65" s="43">
        <f>IF(AND(Inputs!$Q$18="Cost-Based",Inputs!$Q$19="Cash Grant",R$2=1),Inputs!$Q$22,IF(Inputs!$G$71="as generated",'Cash Flow'!R$172,-R$179))</f>
        <v>0</v>
      </c>
      <c r="S65" s="43">
        <f>IF(AND(Inputs!$Q$18="Cost-Based",Inputs!$Q$19="Cash Grant",S$2=1),Inputs!$Q$22,IF(Inputs!$G$71="as generated",'Cash Flow'!S$172,-S$179))</f>
        <v>0</v>
      </c>
      <c r="T65" s="43">
        <f>IF(AND(Inputs!$Q$18="Cost-Based",Inputs!$Q$19="Cash Grant",T$2=1),Inputs!$Q$22,IF(Inputs!$G$71="as generated",'Cash Flow'!T$172,-T$179))</f>
        <v>0</v>
      </c>
      <c r="U65" s="43">
        <f>IF(AND(Inputs!$Q$18="Cost-Based",Inputs!$Q$19="Cash Grant",U$2=1),Inputs!$Q$22,IF(Inputs!$G$71="as generated",'Cash Flow'!U$172,-U$179))</f>
        <v>0</v>
      </c>
      <c r="V65" s="43">
        <f>IF(AND(Inputs!$Q$18="Cost-Based",Inputs!$Q$19="Cash Grant",V$2=1),Inputs!$Q$22,IF(Inputs!$G$71="as generated",'Cash Flow'!V$172,-V$179))</f>
        <v>0</v>
      </c>
      <c r="W65" s="43">
        <f>IF(AND(Inputs!$Q$18="Cost-Based",Inputs!$Q$19="Cash Grant",W$2=1),Inputs!$Q$22,IF(Inputs!$G$71="as generated",'Cash Flow'!W$172,-W$179))</f>
        <v>0</v>
      </c>
      <c r="X65" s="43">
        <f>IF(AND(Inputs!$Q$18="Cost-Based",Inputs!$Q$19="Cash Grant",X$2=1),Inputs!$Q$22,IF(Inputs!$G$71="as generated",'Cash Flow'!X$172,-X$179))</f>
        <v>0</v>
      </c>
      <c r="Y65" s="43">
        <f>IF(AND(Inputs!$Q$18="Cost-Based",Inputs!$Q$19="Cash Grant",Y$2=1),Inputs!$Q$22,IF(Inputs!$G$71="as generated",'Cash Flow'!Y$172,-Y$179))</f>
        <v>0</v>
      </c>
      <c r="Z65" s="43">
        <f>IF(AND(Inputs!$Q$18="Cost-Based",Inputs!$Q$19="Cash Grant",Z$2=1),Inputs!$Q$22,IF(Inputs!$G$71="as generated",'Cash Flow'!Z$172,-Z$179))</f>
        <v>0</v>
      </c>
      <c r="AA65" s="43">
        <f>IF(AND(Inputs!$Q$18="Cost-Based",Inputs!$Q$19="Cash Grant",AA$2=1),Inputs!$Q$22,IF(Inputs!$G$71="as generated",'Cash Flow'!AA$172,-AA$179))</f>
        <v>0</v>
      </c>
      <c r="AB65" s="43">
        <f>IF(AND(Inputs!$Q$18="Cost-Based",Inputs!$Q$19="Cash Grant",AB$2=1),Inputs!$Q$22,IF(Inputs!$G$71="as generated",'Cash Flow'!AB$172,-AB$179))</f>
        <v>0</v>
      </c>
      <c r="AC65" s="43">
        <f>IF(AND(Inputs!$Q$18="Cost-Based",Inputs!$Q$19="Cash Grant",AC$2=1),Inputs!$Q$22,IF(Inputs!$G$71="as generated",'Cash Flow'!AC$172,-AC$179))</f>
        <v>0</v>
      </c>
      <c r="AD65" s="43">
        <f>IF(AND(Inputs!$Q$18="Cost-Based",Inputs!$Q$19="Cash Grant",AD$2=1),Inputs!$Q$22,IF(Inputs!$G$71="as generated",'Cash Flow'!AD$172,-AD$179))</f>
        <v>0</v>
      </c>
      <c r="AE65" s="43">
        <f>IF(AND(Inputs!$Q$18="Cost-Based",Inputs!$Q$19="Cash Grant",AE$2=1),Inputs!$Q$22,IF(Inputs!$G$71="as generated",'Cash Flow'!AE$172,-AE$179))</f>
        <v>0</v>
      </c>
      <c r="AF65" s="43">
        <f>IF(AND(Inputs!$Q$18="Cost-Based",Inputs!$Q$19="Cash Grant",AF$2=1),Inputs!$Q$22,IF(Inputs!$G$71="as generated",'Cash Flow'!AF$172,-AF$179))</f>
        <v>0</v>
      </c>
      <c r="AG65" s="43">
        <f>IF(AND(Inputs!$Q$18="Cost-Based",Inputs!$Q$19="Cash Grant",AG$2=1),Inputs!$Q$22,IF(Inputs!$G$71="as generated",'Cash Flow'!AG$172,-AG$179))</f>
        <v>0</v>
      </c>
      <c r="AH65" s="43">
        <f>IF(AND(Inputs!$Q$18="Cost-Based",Inputs!$Q$19="Cash Grant",AH$2=1),Inputs!$Q$22,IF(Inputs!$G$71="as generated",'Cash Flow'!AH$172,-AH$179))</f>
        <v>0</v>
      </c>
      <c r="AI65" s="43">
        <f>IF(AND(Inputs!$Q$18="Cost-Based",Inputs!$Q$19="Cash Grant",AI$2=1),Inputs!$Q$22,IF(Inputs!$G$71="as generated",'Cash Flow'!AI$172,-AI$179))</f>
        <v>0</v>
      </c>
      <c r="AJ65" s="43">
        <f>IF(AND(Inputs!$Q$18="Cost-Based",Inputs!$Q$19="Cash Grant",AJ$2=1),Inputs!$Q$22,IF(Inputs!$G$71="as generated",'Cash Flow'!AJ$172,-AJ$179))</f>
        <v>0</v>
      </c>
    </row>
    <row r="66" spans="2:36" s="30" customFormat="1" ht="16">
      <c r="B66" s="40" t="s">
        <v>145</v>
      </c>
      <c r="C66" s="40"/>
      <c r="D66" s="40"/>
      <c r="E66" s="334"/>
      <c r="F66" s="41"/>
      <c r="G66" s="44">
        <f>IF(Inputs!$G$73="as generated",'Cash Flow'!G$186,-G$193)</f>
        <v>0</v>
      </c>
      <c r="H66" s="44">
        <f>IF(Inputs!$G$73="as generated",'Cash Flow'!H$186,-H$193)</f>
        <v>0</v>
      </c>
      <c r="I66" s="44">
        <f>IF(Inputs!$G$73="as generated",'Cash Flow'!I$186,-I$193)</f>
        <v>0</v>
      </c>
      <c r="J66" s="44">
        <f>IF(Inputs!$G$73="as generated",'Cash Flow'!J$186,-J$193)</f>
        <v>0</v>
      </c>
      <c r="K66" s="44">
        <f>IF(Inputs!$G$73="as generated",'Cash Flow'!K$186,-K$193)</f>
        <v>0</v>
      </c>
      <c r="L66" s="44">
        <f>IF(Inputs!$G$73="as generated",'Cash Flow'!L$186,-L$193)</f>
        <v>0</v>
      </c>
      <c r="M66" s="44">
        <f>IF(Inputs!$G$73="as generated",'Cash Flow'!M$186,-M$193)</f>
        <v>0</v>
      </c>
      <c r="N66" s="44">
        <f>IF(Inputs!$G$73="as generated",'Cash Flow'!N$186,-N$193)</f>
        <v>0</v>
      </c>
      <c r="O66" s="44">
        <f>IF(Inputs!$G$73="as generated",'Cash Flow'!O$186,-O$193)</f>
        <v>0</v>
      </c>
      <c r="P66" s="44">
        <f>IF(Inputs!$G$73="as generated",'Cash Flow'!P$186,-P$193)</f>
        <v>0</v>
      </c>
      <c r="Q66" s="44">
        <f>IF(Inputs!$G$73="as generated",'Cash Flow'!Q$186,-Q$193)</f>
        <v>0</v>
      </c>
      <c r="R66" s="44">
        <f>IF(Inputs!$G$73="as generated",'Cash Flow'!R$186,-R$193)</f>
        <v>0</v>
      </c>
      <c r="S66" s="44">
        <f>IF(Inputs!$G$73="as generated",'Cash Flow'!S$186,-S$193)</f>
        <v>0</v>
      </c>
      <c r="T66" s="44">
        <f>IF(Inputs!$G$73="as generated",'Cash Flow'!T$186,-T$193)</f>
        <v>0</v>
      </c>
      <c r="U66" s="44">
        <f>IF(Inputs!$G$73="as generated",'Cash Flow'!U$186,-U$193)</f>
        <v>0</v>
      </c>
      <c r="V66" s="44">
        <f>IF(Inputs!$G$73="as generated",'Cash Flow'!V$186,-V$193)</f>
        <v>0</v>
      </c>
      <c r="W66" s="44">
        <f>IF(Inputs!$G$73="as generated",'Cash Flow'!W$186,-W$193)</f>
        <v>0</v>
      </c>
      <c r="X66" s="44">
        <f>IF(Inputs!$G$73="as generated",'Cash Flow'!X$186,-X$193)</f>
        <v>0</v>
      </c>
      <c r="Y66" s="44">
        <f>IF(Inputs!$G$73="as generated",'Cash Flow'!Y$186,-Y$193)</f>
        <v>0</v>
      </c>
      <c r="Z66" s="44">
        <f>IF(Inputs!$G$73="as generated",'Cash Flow'!Z$186,-Z$193)</f>
        <v>0</v>
      </c>
      <c r="AA66" s="44">
        <f>IF(Inputs!$G$73="as generated",'Cash Flow'!AA$186,-AA$193)</f>
        <v>0</v>
      </c>
      <c r="AB66" s="44">
        <f>IF(Inputs!$G$73="as generated",'Cash Flow'!AB$186,-AB$193)</f>
        <v>0</v>
      </c>
      <c r="AC66" s="44">
        <f>IF(Inputs!$G$73="as generated",'Cash Flow'!AC$186,-AC$193)</f>
        <v>0</v>
      </c>
      <c r="AD66" s="44">
        <f>IF(Inputs!$G$73="as generated",'Cash Flow'!AD$186,-AD$193)</f>
        <v>0</v>
      </c>
      <c r="AE66" s="44">
        <f>IF(Inputs!$G$73="as generated",'Cash Flow'!AE$186,-AE$193)</f>
        <v>0</v>
      </c>
      <c r="AF66" s="44">
        <f>IF(Inputs!$G$73="as generated",'Cash Flow'!AF$186,-AF$193)</f>
        <v>0</v>
      </c>
      <c r="AG66" s="44">
        <f>IF(Inputs!$G$73="as generated",'Cash Flow'!AG$186,-AG$193)</f>
        <v>0</v>
      </c>
      <c r="AH66" s="44">
        <f>IF(Inputs!$G$73="as generated",'Cash Flow'!AH$186,-AH$193)</f>
        <v>0</v>
      </c>
      <c r="AI66" s="44">
        <f>IF(Inputs!$G$73="as generated",'Cash Flow'!AI$186,-AI$193)</f>
        <v>0</v>
      </c>
      <c r="AJ66" s="44">
        <f>IF(Inputs!$G$73="as generated",'Cash Flow'!AJ$186,-AJ$193)</f>
        <v>0</v>
      </c>
    </row>
    <row r="67" spans="2:36" s="30" customFormat="1" ht="16">
      <c r="B67" s="35" t="s">
        <v>144</v>
      </c>
      <c r="C67" s="35"/>
      <c r="D67" s="35"/>
      <c r="E67" s="54"/>
      <c r="F67" s="46">
        <f t="shared" ref="F67:AJ67" si="20">F54+SUM(F63:F66)</f>
        <v>-12500000</v>
      </c>
      <c r="G67" s="46">
        <f>G54+SUM(G63:G66)</f>
        <v>12265631.825905723</v>
      </c>
      <c r="H67" s="46">
        <f t="shared" si="20"/>
        <v>1330560.8922233623</v>
      </c>
      <c r="I67" s="46">
        <f t="shared" si="20"/>
        <v>775003.05592157773</v>
      </c>
      <c r="J67" s="46">
        <f t="shared" si="20"/>
        <v>427803.5872375801</v>
      </c>
      <c r="K67" s="46">
        <f t="shared" si="20"/>
        <v>393581.89676939859</v>
      </c>
      <c r="L67" s="46">
        <f t="shared" si="20"/>
        <v>122514.98926170112</v>
      </c>
      <c r="M67" s="46">
        <f t="shared" si="20"/>
        <v>-149689.94830504467</v>
      </c>
      <c r="N67" s="46">
        <f t="shared" si="20"/>
        <v>-187551.43862365274</v>
      </c>
      <c r="O67" s="46">
        <f t="shared" si="20"/>
        <v>-226858.83795938827</v>
      </c>
      <c r="P67" s="46">
        <f t="shared" si="20"/>
        <v>-267845.50654416793</v>
      </c>
      <c r="Q67" s="46">
        <f t="shared" si="20"/>
        <v>-310623.74082035461</v>
      </c>
      <c r="R67" s="46">
        <f t="shared" si="20"/>
        <v>-355342.80222669378</v>
      </c>
      <c r="S67" s="46">
        <f t="shared" si="20"/>
        <v>-402104.61017408449</v>
      </c>
      <c r="T67" s="46">
        <f t="shared" si="20"/>
        <v>-451075.71998781018</v>
      </c>
      <c r="U67" s="46">
        <f t="shared" si="20"/>
        <v>-502376.55137069512</v>
      </c>
      <c r="V67" s="46">
        <f t="shared" si="20"/>
        <v>1497469.3263205711</v>
      </c>
      <c r="W67" s="46">
        <f t="shared" si="20"/>
        <v>788717.88733126386</v>
      </c>
      <c r="X67" s="46">
        <f t="shared" si="20"/>
        <v>771040.96109615895</v>
      </c>
      <c r="Y67" s="46">
        <f t="shared" si="20"/>
        <v>753234.54545166844</v>
      </c>
      <c r="Z67" s="46">
        <f t="shared" si="20"/>
        <v>1309411.7711756816</v>
      </c>
      <c r="AA67" s="46">
        <f t="shared" si="20"/>
        <v>2230.3124999999991</v>
      </c>
      <c r="AB67" s="46">
        <f t="shared" si="20"/>
        <v>0</v>
      </c>
      <c r="AC67" s="46">
        <f t="shared" si="20"/>
        <v>0</v>
      </c>
      <c r="AD67" s="46">
        <f t="shared" si="20"/>
        <v>0</v>
      </c>
      <c r="AE67" s="46">
        <f t="shared" si="20"/>
        <v>0</v>
      </c>
      <c r="AF67" s="46">
        <f t="shared" si="20"/>
        <v>0</v>
      </c>
      <c r="AG67" s="46">
        <f t="shared" si="20"/>
        <v>0</v>
      </c>
      <c r="AH67" s="46">
        <f t="shared" si="20"/>
        <v>0</v>
      </c>
      <c r="AI67" s="46">
        <f t="shared" si="20"/>
        <v>0</v>
      </c>
      <c r="AJ67" s="46">
        <f t="shared" si="20"/>
        <v>0</v>
      </c>
    </row>
    <row r="68" spans="2:36" s="30" customFormat="1" ht="17">
      <c r="B68" s="56" t="s">
        <v>143</v>
      </c>
      <c r="C68" s="56"/>
      <c r="D68" s="56"/>
      <c r="E68" s="54"/>
      <c r="F68" s="46"/>
      <c r="G68" s="379">
        <f>IF(ISERROR(IRR($F67:G67)),"NA",IRR($F67:G67))</f>
        <v>-1.8749453927542015E-2</v>
      </c>
      <c r="H68" s="379">
        <f>IF(ISERROR(IRR($F67:H67)),"NA",IRR($F67:H67))</f>
        <v>7.9826452532454351E-2</v>
      </c>
      <c r="I68" s="379">
        <f>IF(ISERROR(IRR($F67:I67)),"NA",IRR($F67:I67))</f>
        <v>0.12487709969502703</v>
      </c>
      <c r="J68" s="379">
        <f>IF(ISERROR(IRR($F67:J67)),"NA",IRR($F67:J67))</f>
        <v>0.14443289747380139</v>
      </c>
      <c r="K68" s="379">
        <f>IF(ISERROR(IRR($F67:K67)),"NA",IRR($F67:K67))</f>
        <v>0.15875006817527026</v>
      </c>
      <c r="L68" s="379">
        <f>IF(ISERROR(IRR($F67:L67)),"NA",IRR($F67:L67))</f>
        <v>0.16237348196518875</v>
      </c>
      <c r="M68" s="379">
        <f>IF(ISERROR(IRR($F67:M67)),"NA",IRR($F67:M67))</f>
        <v>0.15854917231508114</v>
      </c>
      <c r="N68" s="379">
        <f>IF(ISERROR(IRR($F67:N67)),"NA",IRR($F67:N67))</f>
        <v>0.15422935650550951</v>
      </c>
      <c r="O68" s="379">
        <f>IF(ISERROR(IRR($F67:O67)),"NA",IRR($F67:O67))</f>
        <v>0.14943445510544606</v>
      </c>
      <c r="P68" s="379">
        <f>IF(ISERROR(IRR($F67:P67)),"NA",IRR($F67:P67))</f>
        <v>0.1441307734089623</v>
      </c>
      <c r="Q68" s="379">
        <f>IF(ISERROR(IRR($F67:Q67)),"NA",IRR($F67:Q67))</f>
        <v>0.13822171791392712</v>
      </c>
      <c r="R68" s="379">
        <f>IF(ISERROR(IRR($F67:R67)),"NA",IRR($F67:R67))</f>
        <v>0.13151398482214516</v>
      </c>
      <c r="S68" s="379">
        <f>IF(ISERROR(IRR($F67:S67)),"NA",IRR($F67:S67))</f>
        <v>0.12363281116472091</v>
      </c>
      <c r="T68" s="379">
        <f>IF(ISERROR(IRR($F67:T67)),"NA",IRR($F67:T67))</f>
        <v>0.11376340959850806</v>
      </c>
      <c r="U68" s="379">
        <f>IF(ISERROR(IRR($F67:U67)),"NA",IRR($F67:U67))</f>
        <v>9.9514156730813985E-2</v>
      </c>
      <c r="V68" s="379">
        <f>IF(ISERROR(IRR($F67:V67)),"NA",IRR($F67:V67))</f>
        <v>0.12865441768322272</v>
      </c>
      <c r="W68" s="379">
        <f>IF(ISERROR(IRR($F67:W67)),"NA",IRR($F67:W67))</f>
        <v>0.13665321408002962</v>
      </c>
      <c r="X68" s="379">
        <f>IF(ISERROR(IRR($F67:X67)),"NA",IRR($F67:X67))</f>
        <v>0.14231737642480469</v>
      </c>
      <c r="Y68" s="379">
        <f>IF(ISERROR(IRR($F67:Y67)),"NA",IRR($F67:Y67))</f>
        <v>0.14651693508654096</v>
      </c>
      <c r="Z68" s="379">
        <f>IF(ISERROR(IRR($F67:Z67)),"NA",IRR($F67:Z67))</f>
        <v>0.15202182529366803</v>
      </c>
      <c r="AA68" s="379">
        <f>IF(ISERROR(IRR($F67:AA67)),"NA",IRR($F67:AA67))</f>
        <v>0.15202932846326722</v>
      </c>
      <c r="AB68" s="379">
        <f>IF(ISERROR(IRR($F67:AB67)),"NA",IRR($F67:AB67))</f>
        <v>0.15202932846326722</v>
      </c>
      <c r="AC68" s="379">
        <f>IF(ISERROR(IRR($F67:AC67)),"NA",IRR($F67:AC67))</f>
        <v>0.15202932846326722</v>
      </c>
      <c r="AD68" s="379">
        <f>IF(ISERROR(IRR($F67:AD67)),"NA",IRR($F67:AD67))</f>
        <v>0.15202932846326722</v>
      </c>
      <c r="AE68" s="379">
        <f>IF(ISERROR(IRR($F67:AE67)),"NA",IRR($F67:AE67))</f>
        <v>0.15202932846326722</v>
      </c>
      <c r="AF68" s="379">
        <f>IF(ISERROR(IRR($F67:AF67)),"NA",IRR($F67:AF67))</f>
        <v>0.15202932846326722</v>
      </c>
      <c r="AG68" s="379">
        <f>IF(ISERROR(IRR($F67:AG67)),"NA",IRR($F67:AG67))</f>
        <v>0.15202932846326722</v>
      </c>
      <c r="AH68" s="379">
        <f>IF(ISERROR(IRR($F67:AH67)),"NA",IRR($F67:AH67))</f>
        <v>0.15202932846326722</v>
      </c>
      <c r="AI68" s="379">
        <f>IF(ISERROR(IRR($F67:AI67)),"NA",IRR($F67:AI67))</f>
        <v>0.15202932846326722</v>
      </c>
      <c r="AJ68" s="379">
        <f>IF(ISERROR(IRR($F67:AJ67)),"NA",IRR($F67:AJ67))</f>
        <v>0.15202932846326722</v>
      </c>
    </row>
    <row r="69" spans="2:36" s="30" customFormat="1" ht="17" thickBot="1">
      <c r="B69" s="35"/>
      <c r="C69" s="35"/>
      <c r="D69" s="35"/>
      <c r="E69" s="58"/>
      <c r="F69" s="395"/>
      <c r="G69" s="395"/>
      <c r="H69" s="395"/>
      <c r="I69" s="395"/>
      <c r="J69" s="395"/>
      <c r="K69" s="395"/>
      <c r="L69" s="395"/>
      <c r="M69" s="395"/>
      <c r="N69" s="46"/>
      <c r="O69" s="46"/>
      <c r="P69" s="46"/>
      <c r="Q69" s="46"/>
      <c r="R69" s="46"/>
      <c r="S69" s="46"/>
      <c r="T69" s="46"/>
      <c r="U69" s="46"/>
      <c r="V69" s="46"/>
      <c r="W69" s="46"/>
      <c r="X69" s="46"/>
      <c r="Y69" s="46"/>
      <c r="Z69" s="46"/>
      <c r="AA69" s="46"/>
      <c r="AB69" s="46"/>
      <c r="AC69" s="46"/>
      <c r="AD69" s="46"/>
      <c r="AE69" s="46"/>
      <c r="AF69" s="46"/>
      <c r="AG69" s="46"/>
      <c r="AH69" s="46"/>
      <c r="AI69" s="46"/>
      <c r="AJ69" s="46"/>
    </row>
    <row r="70" spans="2:36" s="30" customFormat="1" ht="17" thickBot="1">
      <c r="B70" s="769" t="s">
        <v>387</v>
      </c>
      <c r="C70" s="770"/>
      <c r="D70" s="512">
        <f>IRR(F54:AJ54)</f>
        <v>-7.255068886598437E-3</v>
      </c>
      <c r="F70" s="46"/>
      <c r="G70" s="467" t="s">
        <v>194</v>
      </c>
      <c r="H70" s="476"/>
      <c r="I70" s="476"/>
      <c r="J70" s="477"/>
      <c r="K70" s="476"/>
      <c r="L70" s="46"/>
      <c r="O70" s="46"/>
      <c r="P70" s="46"/>
      <c r="Q70" s="46"/>
      <c r="R70" s="46"/>
      <c r="S70" s="46"/>
      <c r="T70" s="46"/>
      <c r="U70" s="46"/>
      <c r="V70" s="46"/>
      <c r="W70" s="46"/>
      <c r="X70" s="46"/>
      <c r="Y70" s="46"/>
      <c r="Z70" s="46"/>
      <c r="AA70" s="46"/>
      <c r="AB70" s="46"/>
      <c r="AC70" s="46"/>
      <c r="AD70" s="46"/>
      <c r="AE70" s="46"/>
      <c r="AF70" s="46"/>
      <c r="AG70" s="46"/>
      <c r="AH70" s="46"/>
      <c r="AI70" s="46"/>
      <c r="AJ70" s="46"/>
    </row>
    <row r="71" spans="2:36" s="30" customFormat="1" ht="18" thickBot="1">
      <c r="B71" s="514" t="s">
        <v>388</v>
      </c>
      <c r="C71" s="515"/>
      <c r="D71" s="512">
        <f>IRR(F67:AJ67)</f>
        <v>0.15202932846326722</v>
      </c>
      <c r="F71" s="46"/>
      <c r="G71" s="469" t="s">
        <v>285</v>
      </c>
      <c r="H71" s="478"/>
      <c r="I71" s="474"/>
      <c r="J71" s="475"/>
      <c r="K71" s="475"/>
      <c r="L71" s="46"/>
      <c r="O71" s="46"/>
      <c r="P71" s="46"/>
      <c r="Q71" s="46"/>
      <c r="R71" s="46"/>
      <c r="S71" s="46"/>
      <c r="T71" s="46"/>
      <c r="U71" s="46"/>
      <c r="V71" s="46"/>
      <c r="W71" s="46"/>
      <c r="X71" s="46"/>
      <c r="Y71" s="46"/>
      <c r="Z71" s="46"/>
      <c r="AA71" s="46"/>
      <c r="AB71" s="46"/>
      <c r="AC71" s="46"/>
      <c r="AD71" s="46"/>
      <c r="AE71" s="46"/>
      <c r="AF71" s="46"/>
      <c r="AG71" s="46"/>
      <c r="AH71" s="46"/>
      <c r="AI71" s="46"/>
      <c r="AJ71" s="46"/>
    </row>
    <row r="72" spans="2:36" s="30" customFormat="1" ht="17" thickBot="1">
      <c r="B72" s="771">
        <f>Inputs!$G$58</f>
        <v>0.15</v>
      </c>
      <c r="C72" s="772"/>
      <c r="D72" s="513">
        <f>NPV(Inputs!$G$58,'Cash Flow'!F67:AJ67)</f>
        <v>27001.843065267083</v>
      </c>
      <c r="G72" s="468">
        <f>AVERAGE(R213:S213)</f>
        <v>10.050000000000001</v>
      </c>
      <c r="H72" s="478"/>
      <c r="I72" s="474"/>
      <c r="J72" s="479"/>
      <c r="K72" s="474"/>
    </row>
    <row r="73" spans="2:36" s="30" customFormat="1" ht="17" thickBot="1">
      <c r="B73" s="59"/>
      <c r="C73" s="59"/>
      <c r="D73" s="59"/>
      <c r="E73" s="60"/>
      <c r="F73" s="348"/>
      <c r="G73" s="332"/>
      <c r="H73" s="348"/>
      <c r="I73" s="348"/>
      <c r="J73" s="348"/>
      <c r="K73" s="348"/>
      <c r="L73" s="348"/>
      <c r="M73" s="348"/>
      <c r="N73" s="348"/>
      <c r="O73" s="348"/>
      <c r="P73" s="348"/>
      <c r="Q73" s="348"/>
      <c r="R73" s="348"/>
      <c r="S73" s="348"/>
      <c r="T73" s="348"/>
      <c r="U73" s="348"/>
      <c r="V73" s="348"/>
      <c r="W73" s="348"/>
      <c r="X73" s="348"/>
      <c r="Y73" s="348"/>
      <c r="Z73" s="348"/>
      <c r="AA73" s="348"/>
      <c r="AB73" s="348"/>
      <c r="AC73" s="348"/>
      <c r="AD73" s="348"/>
      <c r="AE73" s="348"/>
      <c r="AF73" s="348"/>
      <c r="AG73" s="348"/>
      <c r="AH73" s="348"/>
      <c r="AI73" s="348"/>
      <c r="AJ73" s="348"/>
    </row>
    <row r="74" spans="2:36" s="30" customFormat="1" ht="16">
      <c r="B74" s="61"/>
      <c r="C74" s="61"/>
      <c r="D74" s="61"/>
      <c r="E74" s="62"/>
      <c r="F74" s="62"/>
      <c r="G74" s="63"/>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row>
    <row r="75" spans="2:36" s="30" customFormat="1" ht="16">
      <c r="B75" s="64" t="s">
        <v>76</v>
      </c>
      <c r="C75" s="64"/>
      <c r="D75" s="64"/>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row>
    <row r="76" spans="2:36" s="30" customFormat="1" ht="17" thickBot="1">
      <c r="B76" s="91"/>
      <c r="C76" s="91"/>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1"/>
    </row>
    <row r="77" spans="2:36" s="30" customFormat="1" ht="16">
      <c r="B77" s="260"/>
      <c r="C77" s="260"/>
      <c r="D77" s="260"/>
      <c r="E77" s="260"/>
      <c r="F77" s="275"/>
      <c r="G77" s="285"/>
      <c r="H77" s="286"/>
      <c r="I77" s="260"/>
      <c r="J77" s="260"/>
      <c r="K77" s="260"/>
      <c r="L77" s="260"/>
      <c r="M77" s="260"/>
      <c r="N77" s="260"/>
      <c r="O77" s="260"/>
      <c r="P77" s="260"/>
      <c r="Q77" s="260"/>
      <c r="R77" s="260"/>
      <c r="S77" s="260"/>
      <c r="T77" s="260"/>
      <c r="U77" s="260"/>
      <c r="V77" s="260"/>
      <c r="W77" s="260"/>
      <c r="X77" s="260"/>
      <c r="Y77" s="260"/>
      <c r="Z77" s="260"/>
      <c r="AA77" s="260"/>
      <c r="AB77" s="260"/>
      <c r="AC77" s="260"/>
      <c r="AD77" s="260"/>
      <c r="AE77" s="260"/>
      <c r="AF77" s="260"/>
      <c r="AG77" s="260"/>
      <c r="AH77" s="260"/>
      <c r="AI77" s="260"/>
      <c r="AJ77" s="260"/>
    </row>
    <row r="78" spans="2:36" s="30" customFormat="1" ht="16">
      <c r="B78" s="259" t="s">
        <v>84</v>
      </c>
      <c r="C78" s="259"/>
      <c r="D78" s="259"/>
      <c r="E78" s="260"/>
      <c r="F78" s="260"/>
      <c r="G78" s="260"/>
      <c r="H78" s="260"/>
      <c r="I78" s="260"/>
      <c r="J78" s="260"/>
      <c r="K78" s="260"/>
      <c r="L78" s="260"/>
      <c r="M78" s="260"/>
      <c r="N78" s="260"/>
      <c r="O78" s="260"/>
      <c r="P78" s="260"/>
      <c r="Q78" s="260"/>
      <c r="R78" s="260"/>
      <c r="S78" s="260"/>
      <c r="T78" s="260"/>
      <c r="U78" s="260"/>
      <c r="V78" s="260"/>
      <c r="W78" s="260"/>
      <c r="X78" s="260"/>
      <c r="Y78" s="260"/>
      <c r="Z78" s="260"/>
      <c r="AA78" s="260"/>
      <c r="AB78" s="260"/>
      <c r="AC78" s="260"/>
      <c r="AD78" s="260"/>
      <c r="AE78" s="260"/>
      <c r="AF78" s="260"/>
      <c r="AG78" s="260"/>
      <c r="AH78" s="260"/>
      <c r="AI78" s="260"/>
      <c r="AJ78" s="260"/>
    </row>
    <row r="79" spans="2:36" s="30" customFormat="1" ht="16">
      <c r="B79" s="287" t="s">
        <v>86</v>
      </c>
      <c r="C79" s="287"/>
      <c r="D79" s="287"/>
      <c r="E79" s="288"/>
      <c r="F79" s="289"/>
      <c r="G79" s="290"/>
      <c r="H79" s="290"/>
      <c r="I79" s="290"/>
      <c r="J79" s="290"/>
      <c r="K79" s="290"/>
      <c r="L79" s="290"/>
      <c r="M79" s="290"/>
      <c r="N79" s="290"/>
      <c r="O79" s="290"/>
      <c r="P79" s="290"/>
      <c r="Q79" s="290"/>
      <c r="R79" s="290"/>
      <c r="S79" s="290"/>
      <c r="T79" s="290"/>
      <c r="U79" s="290"/>
      <c r="V79" s="290"/>
      <c r="W79" s="290"/>
      <c r="X79" s="290"/>
      <c r="Y79" s="290"/>
      <c r="Z79" s="290"/>
      <c r="AA79" s="290"/>
      <c r="AB79" s="290"/>
      <c r="AC79" s="290"/>
      <c r="AD79" s="290"/>
      <c r="AE79" s="290"/>
      <c r="AF79" s="290"/>
      <c r="AG79" s="290"/>
      <c r="AH79" s="290"/>
      <c r="AI79" s="290"/>
      <c r="AJ79" s="290"/>
    </row>
    <row r="80" spans="2:36" s="30" customFormat="1" ht="16">
      <c r="B80" s="288" t="s">
        <v>87</v>
      </c>
      <c r="C80" s="288"/>
      <c r="D80" s="288"/>
      <c r="E80" s="288"/>
      <c r="F80" s="289">
        <f>IF(Inputs!$G$14="Simple",Inputs!$G$22-Inputs!$G$65,IF(Inputs!$G$14="Intermediate",SUM(Inputs!G16:G19)-Inputs!G65,'Complex Inputs'!C26+'Complex Inputs'!C51+'Complex Inputs'!C76+'Complex Inputs'!C101))</f>
        <v>25000000</v>
      </c>
      <c r="G80" s="290"/>
      <c r="H80" s="290"/>
      <c r="I80" s="290"/>
      <c r="J80" s="290"/>
      <c r="K80" s="290"/>
      <c r="L80" s="290"/>
      <c r="M80" s="290"/>
      <c r="N80" s="290"/>
      <c r="O80" s="290"/>
      <c r="P80" s="290"/>
      <c r="Q80" s="290"/>
      <c r="R80" s="290"/>
      <c r="S80" s="290"/>
      <c r="T80" s="290"/>
      <c r="U80" s="290"/>
      <c r="V80" s="290"/>
      <c r="W80" s="290"/>
      <c r="X80" s="290"/>
      <c r="Y80" s="290"/>
      <c r="Z80" s="290"/>
      <c r="AA80" s="290"/>
      <c r="AB80" s="290"/>
      <c r="AC80" s="290"/>
      <c r="AD80" s="290"/>
      <c r="AE80" s="290"/>
      <c r="AF80" s="290"/>
      <c r="AG80" s="290"/>
      <c r="AH80" s="290"/>
      <c r="AI80" s="290"/>
      <c r="AJ80" s="290"/>
    </row>
    <row r="81" spans="2:36" s="30" customFormat="1" ht="16">
      <c r="B81" s="288" t="s">
        <v>88</v>
      </c>
      <c r="C81" s="288"/>
      <c r="D81" s="288"/>
      <c r="E81" s="288"/>
      <c r="F81" s="291">
        <f>Inputs!$G$47</f>
        <v>0.5</v>
      </c>
      <c r="G81" s="290"/>
      <c r="H81" s="290"/>
      <c r="I81" s="290"/>
      <c r="J81" s="290"/>
      <c r="K81" s="290"/>
      <c r="L81" s="290"/>
      <c r="M81" s="290"/>
      <c r="N81" s="290"/>
      <c r="O81" s="290"/>
      <c r="P81" s="290"/>
      <c r="Q81" s="290"/>
      <c r="R81" s="290"/>
      <c r="S81" s="290"/>
      <c r="T81" s="290"/>
      <c r="U81" s="290"/>
      <c r="V81" s="290"/>
      <c r="W81" s="290"/>
      <c r="X81" s="290"/>
      <c r="Y81" s="290"/>
      <c r="Z81" s="290"/>
      <c r="AA81" s="290"/>
      <c r="AB81" s="290"/>
      <c r="AC81" s="290"/>
      <c r="AD81" s="290"/>
      <c r="AE81" s="290"/>
      <c r="AF81" s="290"/>
      <c r="AG81" s="290"/>
      <c r="AH81" s="290"/>
      <c r="AI81" s="290"/>
      <c r="AJ81" s="290"/>
    </row>
    <row r="82" spans="2:36" s="30" customFormat="1" ht="16">
      <c r="B82" s="288" t="s">
        <v>85</v>
      </c>
      <c r="C82" s="288"/>
      <c r="D82" s="288"/>
      <c r="E82" s="288"/>
      <c r="F82" s="292">
        <f>F80*F81</f>
        <v>12500000</v>
      </c>
      <c r="G82" s="290"/>
      <c r="H82" s="290"/>
      <c r="I82" s="290"/>
      <c r="J82" s="290"/>
      <c r="K82" s="290"/>
      <c r="L82" s="290"/>
      <c r="M82" s="290"/>
      <c r="N82" s="290"/>
      <c r="O82" s="290"/>
      <c r="P82" s="290"/>
      <c r="Q82" s="290"/>
      <c r="R82" s="290"/>
      <c r="S82" s="290"/>
      <c r="T82" s="290"/>
      <c r="U82" s="290"/>
      <c r="V82" s="290"/>
      <c r="W82" s="290"/>
      <c r="X82" s="290"/>
      <c r="Y82" s="290"/>
      <c r="Z82" s="290"/>
      <c r="AA82" s="290"/>
      <c r="AB82" s="290"/>
      <c r="AC82" s="290"/>
      <c r="AD82" s="290"/>
      <c r="AE82" s="290"/>
      <c r="AF82" s="290"/>
      <c r="AG82" s="290"/>
      <c r="AH82" s="290"/>
      <c r="AI82" s="290"/>
      <c r="AJ82" s="290"/>
    </row>
    <row r="83" spans="2:36" s="30" customFormat="1" ht="16">
      <c r="B83" s="293"/>
      <c r="C83" s="293"/>
      <c r="D83" s="293"/>
      <c r="E83" s="293"/>
      <c r="F83" s="294"/>
      <c r="G83" s="290"/>
      <c r="H83" s="290"/>
      <c r="I83" s="290"/>
      <c r="J83" s="290"/>
      <c r="K83" s="290"/>
      <c r="L83" s="290"/>
      <c r="M83" s="290"/>
      <c r="N83" s="290"/>
      <c r="O83" s="290"/>
      <c r="P83" s="290"/>
      <c r="Q83" s="290"/>
      <c r="R83" s="290"/>
      <c r="S83" s="290"/>
      <c r="T83" s="290"/>
      <c r="U83" s="290"/>
      <c r="V83" s="290"/>
      <c r="W83" s="290"/>
      <c r="X83" s="290"/>
      <c r="Y83" s="290"/>
      <c r="Z83" s="290"/>
      <c r="AA83" s="290"/>
      <c r="AB83" s="290"/>
      <c r="AC83" s="290"/>
      <c r="AD83" s="290"/>
      <c r="AE83" s="290"/>
      <c r="AF83" s="290"/>
      <c r="AG83" s="290"/>
      <c r="AH83" s="290"/>
      <c r="AI83" s="290"/>
      <c r="AJ83" s="290"/>
    </row>
    <row r="84" spans="2:36" s="30" customFormat="1" ht="16">
      <c r="B84" s="287" t="s">
        <v>123</v>
      </c>
      <c r="C84" s="287"/>
      <c r="D84" s="287"/>
      <c r="E84" s="287"/>
      <c r="F84" s="294"/>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c r="AE84" s="290"/>
      <c r="AF84" s="290"/>
      <c r="AG84" s="290"/>
      <c r="AH84" s="290"/>
      <c r="AI84" s="290"/>
      <c r="AJ84" s="290"/>
    </row>
    <row r="85" spans="2:36" s="30" customFormat="1" ht="16">
      <c r="B85" s="295" t="s">
        <v>94</v>
      </c>
      <c r="C85" s="295"/>
      <c r="D85" s="295"/>
      <c r="E85" s="295"/>
      <c r="F85" s="296">
        <v>0</v>
      </c>
      <c r="G85" s="297">
        <f>SUM(G86:G87)</f>
        <v>-1372432.8087625818</v>
      </c>
      <c r="H85" s="297">
        <f t="shared" ref="H85:AJ85" si="21">SUM(H86:H87)</f>
        <v>-1372432.808762582</v>
      </c>
      <c r="I85" s="297">
        <f t="shared" si="21"/>
        <v>-1372432.8087625816</v>
      </c>
      <c r="J85" s="297">
        <f t="shared" si="21"/>
        <v>-1372432.808762582</v>
      </c>
      <c r="K85" s="297">
        <f t="shared" si="21"/>
        <v>-1372432.8087625818</v>
      </c>
      <c r="L85" s="297">
        <f t="shared" si="21"/>
        <v>-1372432.8087625816</v>
      </c>
      <c r="M85" s="297">
        <f t="shared" si="21"/>
        <v>-1372432.808762582</v>
      </c>
      <c r="N85" s="297">
        <f t="shared" si="21"/>
        <v>-1372432.808762582</v>
      </c>
      <c r="O85" s="297">
        <f t="shared" si="21"/>
        <v>-1372432.808762582</v>
      </c>
      <c r="P85" s="297">
        <f t="shared" si="21"/>
        <v>-1372432.8087625818</v>
      </c>
      <c r="Q85" s="297">
        <f t="shared" si="21"/>
        <v>-1372432.8087625818</v>
      </c>
      <c r="R85" s="297">
        <f t="shared" si="21"/>
        <v>-1372432.8087625818</v>
      </c>
      <c r="S85" s="297">
        <f t="shared" si="21"/>
        <v>-1372432.8087625818</v>
      </c>
      <c r="T85" s="297">
        <f t="shared" si="21"/>
        <v>-1372432.808762582</v>
      </c>
      <c r="U85" s="297">
        <f t="shared" si="21"/>
        <v>-1372432.8087625818</v>
      </c>
      <c r="V85" s="297">
        <f t="shared" si="21"/>
        <v>0</v>
      </c>
      <c r="W85" s="297">
        <f t="shared" si="21"/>
        <v>0</v>
      </c>
      <c r="X85" s="297">
        <f t="shared" si="21"/>
        <v>0</v>
      </c>
      <c r="Y85" s="297">
        <f t="shared" si="21"/>
        <v>0</v>
      </c>
      <c r="Z85" s="297">
        <f t="shared" si="21"/>
        <v>0</v>
      </c>
      <c r="AA85" s="297">
        <f t="shared" si="21"/>
        <v>0</v>
      </c>
      <c r="AB85" s="297">
        <f t="shared" si="21"/>
        <v>0</v>
      </c>
      <c r="AC85" s="297">
        <f t="shared" si="21"/>
        <v>0</v>
      </c>
      <c r="AD85" s="297">
        <f t="shared" si="21"/>
        <v>0</v>
      </c>
      <c r="AE85" s="297">
        <f t="shared" si="21"/>
        <v>0</v>
      </c>
      <c r="AF85" s="297">
        <f t="shared" si="21"/>
        <v>0</v>
      </c>
      <c r="AG85" s="297">
        <f t="shared" si="21"/>
        <v>0</v>
      </c>
      <c r="AH85" s="297">
        <f t="shared" si="21"/>
        <v>0</v>
      </c>
      <c r="AI85" s="297">
        <f t="shared" si="21"/>
        <v>0</v>
      </c>
      <c r="AJ85" s="297">
        <f t="shared" si="21"/>
        <v>0</v>
      </c>
    </row>
    <row r="86" spans="2:36" s="39" customFormat="1" ht="16">
      <c r="B86" s="298" t="s">
        <v>92</v>
      </c>
      <c r="C86" s="298"/>
      <c r="D86" s="298"/>
      <c r="E86" s="298"/>
      <c r="F86" s="296">
        <v>0</v>
      </c>
      <c r="G86" s="297">
        <f>IF(G$2&gt;Inputs!$G$48,0,IPMT(Inputs!$G$49,G$2,Inputs!$G$48,$F$82))</f>
        <v>-875000.00000000012</v>
      </c>
      <c r="H86" s="297">
        <f>IF(H$2&gt;Inputs!$G$48,0,IPMT(Inputs!$G$49,H$2,Inputs!$G$48,$F$82))</f>
        <v>-840179.70338661957</v>
      </c>
      <c r="I86" s="297">
        <f>IF(I$2&gt;Inputs!$G$48,0,IPMT(Inputs!$G$49,I$2,Inputs!$G$48,$F$82))</f>
        <v>-802921.98601030197</v>
      </c>
      <c r="J86" s="297">
        <f>IF(J$2&gt;Inputs!$G$48,0,IPMT(Inputs!$G$49,J$2,Inputs!$G$48,$F$82))</f>
        <v>-763056.22841764265</v>
      </c>
      <c r="K86" s="297">
        <f>IF(K$2&gt;Inputs!$G$48,0,IPMT(Inputs!$G$49,K$2,Inputs!$G$48,$F$82))</f>
        <v>-720399.8677934967</v>
      </c>
      <c r="L86" s="297">
        <f>IF(L$2&gt;Inputs!$G$48,0,IPMT(Inputs!$G$49,L$2,Inputs!$G$48,$F$82))</f>
        <v>-674757.5619256607</v>
      </c>
      <c r="M86" s="297">
        <f>IF(M$2&gt;Inputs!$G$48,0,IPMT(Inputs!$G$49,M$2,Inputs!$G$48,$F$82))</f>
        <v>-625920.2946470764</v>
      </c>
      <c r="N86" s="297">
        <f>IF(N$2&gt;Inputs!$G$48,0,IPMT(Inputs!$G$49,N$2,Inputs!$G$48,$F$82))</f>
        <v>-573664.418658991</v>
      </c>
      <c r="O86" s="297">
        <f>IF(O$2&gt;Inputs!$G$48,0,IPMT(Inputs!$G$49,O$2,Inputs!$G$48,$F$82))</f>
        <v>-517750.63135173952</v>
      </c>
      <c r="P86" s="297">
        <f>IF(P$2&gt;Inputs!$G$48,0,IPMT(Inputs!$G$49,P$2,Inputs!$G$48,$F$82))</f>
        <v>-457922.87893298065</v>
      </c>
      <c r="Q86" s="297">
        <f>IF(Q$2&gt;Inputs!$G$48,0,IPMT(Inputs!$G$49,Q$2,Inputs!$G$48,$F$82))</f>
        <v>-393907.18384490843</v>
      </c>
      <c r="R86" s="297">
        <f>IF(R$2&gt;Inputs!$G$48,0,IPMT(Inputs!$G$49,R$2,Inputs!$G$48,$F$82))</f>
        <v>-325410.39010067133</v>
      </c>
      <c r="S86" s="297">
        <f>IF(S$2&gt;Inputs!$G$48,0,IPMT(Inputs!$G$49,S$2,Inputs!$G$48,$F$82))</f>
        <v>-252118.82079433763</v>
      </c>
      <c r="T86" s="297">
        <f>IF(T$2&gt;Inputs!$G$48,0,IPMT(Inputs!$G$49,T$2,Inputs!$G$48,$F$82))</f>
        <v>-173696.84163656054</v>
      </c>
      <c r="U86" s="297">
        <f>IF(U$2&gt;Inputs!$G$48,0,IPMT(Inputs!$G$49,U$2,Inputs!$G$48,$F$82))</f>
        <v>-89785.323937738998</v>
      </c>
      <c r="V86" s="297">
        <f>IF(V$2&gt;Inputs!$G$48,0,IPMT(Inputs!$G$49,V$2,Inputs!$G$48,$F$82))</f>
        <v>0</v>
      </c>
      <c r="W86" s="297">
        <f>IF(W$2&gt;Inputs!$G$48,0,IPMT(Inputs!$G$49,W$2,Inputs!$G$48,$F$82))</f>
        <v>0</v>
      </c>
      <c r="X86" s="297">
        <f>IF(X$2&gt;Inputs!$G$48,0,IPMT(Inputs!$G$49,X$2,Inputs!$G$48,$F$82))</f>
        <v>0</v>
      </c>
      <c r="Y86" s="297">
        <f>IF(Y$2&gt;Inputs!$G$48,0,IPMT(Inputs!$G$49,Y$2,Inputs!$G$48,$F$82))</f>
        <v>0</v>
      </c>
      <c r="Z86" s="297">
        <f>IF(Z$2&gt;Inputs!$G$48,0,IPMT(Inputs!$G$49,Z$2,Inputs!$G$48,$F$82))</f>
        <v>0</v>
      </c>
      <c r="AA86" s="297">
        <f>IF(AA$2&gt;Inputs!$G$48,0,IPMT(Inputs!$G$49,AA$2,Inputs!$G$48,$F$82))</f>
        <v>0</v>
      </c>
      <c r="AB86" s="297">
        <f>IF(AB$2&gt;Inputs!$G$48,0,IPMT(Inputs!$G$49,AB$2,Inputs!$G$48,$F$82))</f>
        <v>0</v>
      </c>
      <c r="AC86" s="297">
        <f>IF(AC$2&gt;Inputs!$G$48,0,IPMT(Inputs!$G$49,AC$2,Inputs!$G$48,$F$82))</f>
        <v>0</v>
      </c>
      <c r="AD86" s="297">
        <f>IF(AD$2&gt;Inputs!$G$48,0,IPMT(Inputs!$G$49,AD$2,Inputs!$G$48,$F$82))</f>
        <v>0</v>
      </c>
      <c r="AE86" s="297">
        <f>IF(AE$2&gt;Inputs!$G$48,0,IPMT(Inputs!$G$49,AE$2,Inputs!$G$48,$F$82))</f>
        <v>0</v>
      </c>
      <c r="AF86" s="297">
        <f>IF(AF$2&gt;Inputs!$G$48,0,IPMT(Inputs!$G$49,AF$2,Inputs!$G$48,$F$82))</f>
        <v>0</v>
      </c>
      <c r="AG86" s="297">
        <f>IF(AG$2&gt;Inputs!$G$48,0,IPMT(Inputs!$G$49,AG$2,Inputs!$G$48,$F$82))</f>
        <v>0</v>
      </c>
      <c r="AH86" s="297">
        <f>IF(AH$2&gt;Inputs!$G$48,0,IPMT(Inputs!$G$49,AH$2,Inputs!$G$48,$F$82))</f>
        <v>0</v>
      </c>
      <c r="AI86" s="297">
        <f>IF(AI$2&gt;Inputs!$G$48,0,IPMT(Inputs!$G$49,AI$2,Inputs!$G$48,$F$82))</f>
        <v>0</v>
      </c>
      <c r="AJ86" s="297">
        <f>IF(AJ$2&gt;Inputs!$G$48,0,IPMT(Inputs!$G$49,AJ$2,Inputs!$G$48,$F$82))</f>
        <v>0</v>
      </c>
    </row>
    <row r="87" spans="2:36" s="30" customFormat="1" ht="16">
      <c r="B87" s="295" t="s">
        <v>93</v>
      </c>
      <c r="C87" s="295"/>
      <c r="D87" s="295"/>
      <c r="E87" s="295"/>
      <c r="F87" s="299">
        <f>MIN(MAX(0,F85-F86),F$90)</f>
        <v>0</v>
      </c>
      <c r="G87" s="297">
        <f>IF(G$2&gt;Inputs!$G$48,0,PPMT(Inputs!$G$49,G$2,Inputs!$G$48,$F$82))</f>
        <v>-497432.80876258173</v>
      </c>
      <c r="H87" s="297">
        <f>IF(H$2&gt;Inputs!$G$48,0,PPMT(Inputs!$G$49,H$2,Inputs!$G$48,$F$82))</f>
        <v>-532253.10537596233</v>
      </c>
      <c r="I87" s="297">
        <f>IF(I$2&gt;Inputs!$G$48,0,PPMT(Inputs!$G$49,I$2,Inputs!$G$48,$F$82))</f>
        <v>-569510.8227522797</v>
      </c>
      <c r="J87" s="297">
        <f>IF(J$2&gt;Inputs!$G$48,0,PPMT(Inputs!$G$49,J$2,Inputs!$G$48,$F$82))</f>
        <v>-609376.58034493937</v>
      </c>
      <c r="K87" s="297">
        <f>IF(K$2&gt;Inputs!$G$48,0,PPMT(Inputs!$G$49,K$2,Inputs!$G$48,$F$82))</f>
        <v>-652032.94096908509</v>
      </c>
      <c r="L87" s="297">
        <f>IF(L$2&gt;Inputs!$G$48,0,PPMT(Inputs!$G$49,L$2,Inputs!$G$48,$F$82))</f>
        <v>-697675.24683692097</v>
      </c>
      <c r="M87" s="297">
        <f>IF(M$2&gt;Inputs!$G$48,0,PPMT(Inputs!$G$49,M$2,Inputs!$G$48,$F$82))</f>
        <v>-746512.5141155055</v>
      </c>
      <c r="N87" s="297">
        <f>IF(N$2&gt;Inputs!$G$48,0,PPMT(Inputs!$G$49,N$2,Inputs!$G$48,$F$82))</f>
        <v>-798768.39010359091</v>
      </c>
      <c r="O87" s="297">
        <f>IF(O$2&gt;Inputs!$G$48,0,PPMT(Inputs!$G$49,O$2,Inputs!$G$48,$F$82))</f>
        <v>-854682.17741084239</v>
      </c>
      <c r="P87" s="297">
        <f>IF(P$2&gt;Inputs!$G$48,0,PPMT(Inputs!$G$49,P$2,Inputs!$G$48,$F$82))</f>
        <v>-914509.9298296012</v>
      </c>
      <c r="Q87" s="297">
        <f>IF(Q$2&gt;Inputs!$G$48,0,PPMT(Inputs!$G$49,Q$2,Inputs!$G$48,$F$82))</f>
        <v>-978525.6249176733</v>
      </c>
      <c r="R87" s="297">
        <f>IF(R$2&gt;Inputs!$G$48,0,PPMT(Inputs!$G$49,R$2,Inputs!$G$48,$F$82))</f>
        <v>-1047022.4186619105</v>
      </c>
      <c r="S87" s="297">
        <f>IF(S$2&gt;Inputs!$G$48,0,PPMT(Inputs!$G$49,S$2,Inputs!$G$48,$F$82))</f>
        <v>-1120313.9879682441</v>
      </c>
      <c r="T87" s="297">
        <f>IF(T$2&gt;Inputs!$G$48,0,PPMT(Inputs!$G$49,T$2,Inputs!$G$48,$F$82))</f>
        <v>-1198735.9671260214</v>
      </c>
      <c r="U87" s="297">
        <f>IF(U$2&gt;Inputs!$G$48,0,PPMT(Inputs!$G$49,U$2,Inputs!$G$48,$F$82))</f>
        <v>-1282647.4848248428</v>
      </c>
      <c r="V87" s="297">
        <f>IF(V$2&gt;Inputs!$G$48,0,PPMT(Inputs!$G$49,V$2,Inputs!$G$48,$F$82))</f>
        <v>0</v>
      </c>
      <c r="W87" s="297">
        <f>IF(W$2&gt;Inputs!$G$48,0,PPMT(Inputs!$G$49,W$2,Inputs!$G$48,$F$82))</f>
        <v>0</v>
      </c>
      <c r="X87" s="297">
        <f>IF(X$2&gt;Inputs!$G$48,0,PPMT(Inputs!$G$49,X$2,Inputs!$G$48,$F$82))</f>
        <v>0</v>
      </c>
      <c r="Y87" s="297">
        <f>IF(Y$2&gt;Inputs!$G$48,0,PPMT(Inputs!$G$49,Y$2,Inputs!$G$48,$F$82))</f>
        <v>0</v>
      </c>
      <c r="Z87" s="297">
        <f>IF(Z$2&gt;Inputs!$G$48,0,PPMT(Inputs!$G$49,Z$2,Inputs!$G$48,$F$82))</f>
        <v>0</v>
      </c>
      <c r="AA87" s="297">
        <f>IF(AA$2&gt;Inputs!$G$48,0,PPMT(Inputs!$G$49,AA$2,Inputs!$G$48,$F$82))</f>
        <v>0</v>
      </c>
      <c r="AB87" s="297">
        <f>IF(AB$2&gt;Inputs!$G$48,0,PPMT(Inputs!$G$49,AB$2,Inputs!$G$48,$F$82))</f>
        <v>0</v>
      </c>
      <c r="AC87" s="297">
        <f>IF(AC$2&gt;Inputs!$G$48,0,PPMT(Inputs!$G$49,AC$2,Inputs!$G$48,$F$82))</f>
        <v>0</v>
      </c>
      <c r="AD87" s="297">
        <f>IF(AD$2&gt;Inputs!$G$48,0,PPMT(Inputs!$G$49,AD$2,Inputs!$G$48,$F$82))</f>
        <v>0</v>
      </c>
      <c r="AE87" s="297">
        <f>IF(AE$2&gt;Inputs!$G$48,0,PPMT(Inputs!$G$49,AE$2,Inputs!$G$48,$F$82))</f>
        <v>0</v>
      </c>
      <c r="AF87" s="297">
        <f>IF(AF$2&gt;Inputs!$G$48,0,PPMT(Inputs!$G$49,AF$2,Inputs!$G$48,$F$82))</f>
        <v>0</v>
      </c>
      <c r="AG87" s="297">
        <f>IF(AG$2&gt;Inputs!$G$48,0,PPMT(Inputs!$G$49,AG$2,Inputs!$G$48,$F$82))</f>
        <v>0</v>
      </c>
      <c r="AH87" s="297">
        <f>IF(AH$2&gt;Inputs!$G$48,0,PPMT(Inputs!$G$49,AH$2,Inputs!$G$48,$F$82))</f>
        <v>0</v>
      </c>
      <c r="AI87" s="297">
        <f>IF(AI$2&gt;Inputs!$G$48,0,PPMT(Inputs!$G$49,AI$2,Inputs!$G$48,$F$82))</f>
        <v>0</v>
      </c>
      <c r="AJ87" s="297">
        <f>IF(AJ$2&gt;Inputs!$G$48,0,PPMT(Inputs!$G$49,AJ$2,Inputs!$G$48,$F$82))</f>
        <v>0</v>
      </c>
    </row>
    <row r="88" spans="2:36" s="30" customFormat="1" ht="16">
      <c r="B88" s="287"/>
      <c r="C88" s="287"/>
      <c r="D88" s="287"/>
      <c r="E88" s="287"/>
      <c r="F88" s="294"/>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c r="AE88" s="290"/>
      <c r="AF88" s="290"/>
      <c r="AG88" s="290"/>
      <c r="AH88" s="290"/>
      <c r="AI88" s="290"/>
      <c r="AJ88" s="290"/>
    </row>
    <row r="89" spans="2:36" s="30" customFormat="1" ht="16">
      <c r="B89" s="287" t="s">
        <v>122</v>
      </c>
      <c r="C89" s="287"/>
      <c r="D89" s="287"/>
      <c r="E89" s="288"/>
      <c r="F89" s="300"/>
      <c r="G89" s="300"/>
      <c r="H89" s="300"/>
      <c r="I89" s="300"/>
      <c r="J89" s="300"/>
      <c r="K89" s="300"/>
      <c r="L89" s="300"/>
      <c r="M89" s="300"/>
      <c r="N89" s="300"/>
      <c r="O89" s="300"/>
      <c r="P89" s="300"/>
      <c r="Q89" s="300"/>
      <c r="R89" s="300"/>
      <c r="S89" s="300"/>
      <c r="T89" s="300"/>
      <c r="U89" s="300"/>
      <c r="V89" s="300"/>
      <c r="W89" s="300"/>
      <c r="X89" s="300"/>
      <c r="Y89" s="300"/>
      <c r="Z89" s="300"/>
      <c r="AA89" s="300"/>
      <c r="AB89" s="300"/>
      <c r="AC89" s="300"/>
      <c r="AD89" s="300"/>
      <c r="AE89" s="300"/>
      <c r="AF89" s="300"/>
      <c r="AG89" s="300"/>
      <c r="AH89" s="300"/>
      <c r="AI89" s="300"/>
      <c r="AJ89" s="300"/>
    </row>
    <row r="90" spans="2:36" s="30" customFormat="1" ht="16">
      <c r="B90" s="295" t="s">
        <v>89</v>
      </c>
      <c r="C90" s="295"/>
      <c r="D90" s="295"/>
      <c r="E90" s="295"/>
      <c r="F90" s="301">
        <v>0</v>
      </c>
      <c r="G90" s="299">
        <f t="shared" ref="G90:AJ90" si="22">F93</f>
        <v>12500000</v>
      </c>
      <c r="H90" s="299">
        <f t="shared" si="22"/>
        <v>12002567.191237418</v>
      </c>
      <c r="I90" s="299">
        <f t="shared" si="22"/>
        <v>11470314.085861456</v>
      </c>
      <c r="J90" s="299">
        <f t="shared" si="22"/>
        <v>10900803.263109175</v>
      </c>
      <c r="K90" s="299">
        <f t="shared" si="22"/>
        <v>10291426.682764236</v>
      </c>
      <c r="L90" s="299">
        <f t="shared" si="22"/>
        <v>9639393.7417951506</v>
      </c>
      <c r="M90" s="299">
        <f t="shared" si="22"/>
        <v>8941718.4949582294</v>
      </c>
      <c r="N90" s="299">
        <f t="shared" si="22"/>
        <v>8195205.9808427235</v>
      </c>
      <c r="O90" s="299">
        <f t="shared" si="22"/>
        <v>7396437.5907391328</v>
      </c>
      <c r="P90" s="299">
        <f t="shared" si="22"/>
        <v>6541755.41332829</v>
      </c>
      <c r="Q90" s="299">
        <f t="shared" si="22"/>
        <v>5627245.4834986888</v>
      </c>
      <c r="R90" s="299">
        <f t="shared" si="22"/>
        <v>4648719.8585810158</v>
      </c>
      <c r="S90" s="299">
        <f t="shared" si="22"/>
        <v>3601697.4399191053</v>
      </c>
      <c r="T90" s="299">
        <f t="shared" si="22"/>
        <v>2481383.4519508611</v>
      </c>
      <c r="U90" s="299">
        <f t="shared" si="22"/>
        <v>1282647.4848248397</v>
      </c>
      <c r="V90" s="299">
        <f t="shared" si="22"/>
        <v>-3.0267983675003052E-9</v>
      </c>
      <c r="W90" s="299">
        <f t="shared" si="22"/>
        <v>-3.0267983675003052E-9</v>
      </c>
      <c r="X90" s="299">
        <f t="shared" si="22"/>
        <v>-3.0267983675003052E-9</v>
      </c>
      <c r="Y90" s="299">
        <f t="shared" si="22"/>
        <v>-3.0267983675003052E-9</v>
      </c>
      <c r="Z90" s="299">
        <f t="shared" si="22"/>
        <v>-3.0267983675003052E-9</v>
      </c>
      <c r="AA90" s="299">
        <f t="shared" si="22"/>
        <v>-3.0267983675003052E-9</v>
      </c>
      <c r="AB90" s="299">
        <f t="shared" si="22"/>
        <v>-3.0267983675003052E-9</v>
      </c>
      <c r="AC90" s="299">
        <f t="shared" si="22"/>
        <v>-3.0267983675003052E-9</v>
      </c>
      <c r="AD90" s="299">
        <f t="shared" si="22"/>
        <v>-3.0267983675003052E-9</v>
      </c>
      <c r="AE90" s="299">
        <f t="shared" si="22"/>
        <v>-3.0267983675003052E-9</v>
      </c>
      <c r="AF90" s="299">
        <f t="shared" si="22"/>
        <v>-3.0267983675003052E-9</v>
      </c>
      <c r="AG90" s="299">
        <f t="shared" si="22"/>
        <v>-3.0267983675003052E-9</v>
      </c>
      <c r="AH90" s="299">
        <f t="shared" si="22"/>
        <v>-3.0267983675003052E-9</v>
      </c>
      <c r="AI90" s="299">
        <f t="shared" si="22"/>
        <v>-3.0267983675003052E-9</v>
      </c>
      <c r="AJ90" s="299">
        <f t="shared" si="22"/>
        <v>-3.0267983675003052E-9</v>
      </c>
    </row>
    <row r="91" spans="2:36" s="30" customFormat="1" ht="16">
      <c r="B91" s="295" t="s">
        <v>90</v>
      </c>
      <c r="C91" s="295"/>
      <c r="D91" s="295"/>
      <c r="E91" s="295"/>
      <c r="F91" s="299">
        <f>$F$82</f>
        <v>12500000</v>
      </c>
      <c r="G91" s="301">
        <v>0</v>
      </c>
      <c r="H91" s="301">
        <v>0</v>
      </c>
      <c r="I91" s="301">
        <v>0</v>
      </c>
      <c r="J91" s="301">
        <v>0</v>
      </c>
      <c r="K91" s="301">
        <v>0</v>
      </c>
      <c r="L91" s="301">
        <v>0</v>
      </c>
      <c r="M91" s="301">
        <v>0</v>
      </c>
      <c r="N91" s="301">
        <v>0</v>
      </c>
      <c r="O91" s="301">
        <v>0</v>
      </c>
      <c r="P91" s="301">
        <v>0</v>
      </c>
      <c r="Q91" s="301">
        <v>0</v>
      </c>
      <c r="R91" s="301">
        <v>0</v>
      </c>
      <c r="S91" s="301">
        <v>0</v>
      </c>
      <c r="T91" s="301">
        <v>0</v>
      </c>
      <c r="U91" s="301">
        <v>0</v>
      </c>
      <c r="V91" s="301">
        <v>0</v>
      </c>
      <c r="W91" s="301">
        <v>0</v>
      </c>
      <c r="X91" s="301">
        <v>0</v>
      </c>
      <c r="Y91" s="301">
        <v>0</v>
      </c>
      <c r="Z91" s="301">
        <v>0</v>
      </c>
      <c r="AA91" s="301">
        <v>0</v>
      </c>
      <c r="AB91" s="301">
        <v>0</v>
      </c>
      <c r="AC91" s="301">
        <v>0</v>
      </c>
      <c r="AD91" s="301">
        <v>0</v>
      </c>
      <c r="AE91" s="301">
        <v>0</v>
      </c>
      <c r="AF91" s="301">
        <v>0</v>
      </c>
      <c r="AG91" s="301">
        <v>0</v>
      </c>
      <c r="AH91" s="301">
        <v>0</v>
      </c>
      <c r="AI91" s="301">
        <v>0</v>
      </c>
      <c r="AJ91" s="301">
        <v>0</v>
      </c>
    </row>
    <row r="92" spans="2:36" s="30" customFormat="1" ht="16">
      <c r="B92" s="295" t="s">
        <v>121</v>
      </c>
      <c r="C92" s="295"/>
      <c r="D92" s="295"/>
      <c r="E92" s="295"/>
      <c r="F92" s="302">
        <v>0</v>
      </c>
      <c r="G92" s="303">
        <f t="shared" ref="G92:AJ92" si="23">G87</f>
        <v>-497432.80876258173</v>
      </c>
      <c r="H92" s="303">
        <f t="shared" si="23"/>
        <v>-532253.10537596233</v>
      </c>
      <c r="I92" s="303">
        <f t="shared" si="23"/>
        <v>-569510.8227522797</v>
      </c>
      <c r="J92" s="303">
        <f t="shared" si="23"/>
        <v>-609376.58034493937</v>
      </c>
      <c r="K92" s="303">
        <f t="shared" si="23"/>
        <v>-652032.94096908509</v>
      </c>
      <c r="L92" s="303">
        <f t="shared" si="23"/>
        <v>-697675.24683692097</v>
      </c>
      <c r="M92" s="303">
        <f t="shared" si="23"/>
        <v>-746512.5141155055</v>
      </c>
      <c r="N92" s="303">
        <f t="shared" si="23"/>
        <v>-798768.39010359091</v>
      </c>
      <c r="O92" s="303">
        <f t="shared" si="23"/>
        <v>-854682.17741084239</v>
      </c>
      <c r="P92" s="303">
        <f t="shared" si="23"/>
        <v>-914509.9298296012</v>
      </c>
      <c r="Q92" s="303">
        <f t="shared" si="23"/>
        <v>-978525.6249176733</v>
      </c>
      <c r="R92" s="303">
        <f t="shared" si="23"/>
        <v>-1047022.4186619105</v>
      </c>
      <c r="S92" s="303">
        <f t="shared" si="23"/>
        <v>-1120313.9879682441</v>
      </c>
      <c r="T92" s="303">
        <f t="shared" si="23"/>
        <v>-1198735.9671260214</v>
      </c>
      <c r="U92" s="303">
        <f t="shared" si="23"/>
        <v>-1282647.4848248428</v>
      </c>
      <c r="V92" s="303">
        <f t="shared" si="23"/>
        <v>0</v>
      </c>
      <c r="W92" s="303">
        <f t="shared" si="23"/>
        <v>0</v>
      </c>
      <c r="X92" s="303">
        <f t="shared" si="23"/>
        <v>0</v>
      </c>
      <c r="Y92" s="303">
        <f t="shared" si="23"/>
        <v>0</v>
      </c>
      <c r="Z92" s="303">
        <f t="shared" si="23"/>
        <v>0</v>
      </c>
      <c r="AA92" s="303">
        <f t="shared" si="23"/>
        <v>0</v>
      </c>
      <c r="AB92" s="303">
        <f t="shared" si="23"/>
        <v>0</v>
      </c>
      <c r="AC92" s="303">
        <f t="shared" si="23"/>
        <v>0</v>
      </c>
      <c r="AD92" s="303">
        <f t="shared" si="23"/>
        <v>0</v>
      </c>
      <c r="AE92" s="303">
        <f t="shared" si="23"/>
        <v>0</v>
      </c>
      <c r="AF92" s="303">
        <f t="shared" si="23"/>
        <v>0</v>
      </c>
      <c r="AG92" s="303">
        <f t="shared" si="23"/>
        <v>0</v>
      </c>
      <c r="AH92" s="303">
        <f t="shared" si="23"/>
        <v>0</v>
      </c>
      <c r="AI92" s="303">
        <f t="shared" si="23"/>
        <v>0</v>
      </c>
      <c r="AJ92" s="303">
        <f t="shared" si="23"/>
        <v>0</v>
      </c>
    </row>
    <row r="93" spans="2:36" s="30" customFormat="1" ht="16">
      <c r="B93" s="295" t="s">
        <v>91</v>
      </c>
      <c r="C93" s="295"/>
      <c r="D93" s="295"/>
      <c r="E93" s="295"/>
      <c r="F93" s="299">
        <f t="shared" ref="F93:AJ93" si="24">SUM(F90:F92)</f>
        <v>12500000</v>
      </c>
      <c r="G93" s="299">
        <f t="shared" si="24"/>
        <v>12002567.191237418</v>
      </c>
      <c r="H93" s="299">
        <f t="shared" si="24"/>
        <v>11470314.085861456</v>
      </c>
      <c r="I93" s="299">
        <f t="shared" si="24"/>
        <v>10900803.263109175</v>
      </c>
      <c r="J93" s="299">
        <f t="shared" si="24"/>
        <v>10291426.682764236</v>
      </c>
      <c r="K93" s="299">
        <f t="shared" si="24"/>
        <v>9639393.7417951506</v>
      </c>
      <c r="L93" s="299">
        <f t="shared" si="24"/>
        <v>8941718.4949582294</v>
      </c>
      <c r="M93" s="299">
        <f t="shared" si="24"/>
        <v>8195205.9808427235</v>
      </c>
      <c r="N93" s="299">
        <f t="shared" si="24"/>
        <v>7396437.5907391328</v>
      </c>
      <c r="O93" s="299">
        <f t="shared" si="24"/>
        <v>6541755.41332829</v>
      </c>
      <c r="P93" s="299">
        <f t="shared" si="24"/>
        <v>5627245.4834986888</v>
      </c>
      <c r="Q93" s="299">
        <f t="shared" si="24"/>
        <v>4648719.8585810158</v>
      </c>
      <c r="R93" s="299">
        <f t="shared" si="24"/>
        <v>3601697.4399191053</v>
      </c>
      <c r="S93" s="299">
        <f t="shared" si="24"/>
        <v>2481383.4519508611</v>
      </c>
      <c r="T93" s="299">
        <f t="shared" si="24"/>
        <v>1282647.4848248397</v>
      </c>
      <c r="U93" s="299">
        <f t="shared" si="24"/>
        <v>-3.0267983675003052E-9</v>
      </c>
      <c r="V93" s="299">
        <f t="shared" si="24"/>
        <v>-3.0267983675003052E-9</v>
      </c>
      <c r="W93" s="299">
        <f t="shared" si="24"/>
        <v>-3.0267983675003052E-9</v>
      </c>
      <c r="X93" s="299">
        <f t="shared" si="24"/>
        <v>-3.0267983675003052E-9</v>
      </c>
      <c r="Y93" s="299">
        <f t="shared" si="24"/>
        <v>-3.0267983675003052E-9</v>
      </c>
      <c r="Z93" s="299">
        <f t="shared" si="24"/>
        <v>-3.0267983675003052E-9</v>
      </c>
      <c r="AA93" s="299">
        <f t="shared" si="24"/>
        <v>-3.0267983675003052E-9</v>
      </c>
      <c r="AB93" s="299">
        <f t="shared" si="24"/>
        <v>-3.0267983675003052E-9</v>
      </c>
      <c r="AC93" s="299">
        <f t="shared" si="24"/>
        <v>-3.0267983675003052E-9</v>
      </c>
      <c r="AD93" s="299">
        <f t="shared" si="24"/>
        <v>-3.0267983675003052E-9</v>
      </c>
      <c r="AE93" s="299">
        <f t="shared" si="24"/>
        <v>-3.0267983675003052E-9</v>
      </c>
      <c r="AF93" s="299">
        <f t="shared" si="24"/>
        <v>-3.0267983675003052E-9</v>
      </c>
      <c r="AG93" s="299">
        <f t="shared" si="24"/>
        <v>-3.0267983675003052E-9</v>
      </c>
      <c r="AH93" s="299">
        <f t="shared" si="24"/>
        <v>-3.0267983675003052E-9</v>
      </c>
      <c r="AI93" s="299">
        <f t="shared" si="24"/>
        <v>-3.0267983675003052E-9</v>
      </c>
      <c r="AJ93" s="299">
        <f t="shared" si="24"/>
        <v>-3.0267983675003052E-9</v>
      </c>
    </row>
    <row r="94" spans="2:36" s="30" customFormat="1" ht="17" thickBot="1">
      <c r="B94" s="282"/>
      <c r="C94" s="282"/>
      <c r="D94" s="282"/>
      <c r="E94" s="282"/>
      <c r="F94" s="282"/>
      <c r="G94" s="282"/>
      <c r="H94" s="282"/>
      <c r="I94" s="282"/>
      <c r="J94" s="282"/>
      <c r="K94" s="282"/>
      <c r="L94" s="282"/>
      <c r="M94" s="282"/>
      <c r="N94" s="282"/>
      <c r="O94" s="282"/>
      <c r="P94" s="282"/>
      <c r="Q94" s="282"/>
      <c r="R94" s="282"/>
      <c r="S94" s="282"/>
      <c r="T94" s="282"/>
      <c r="U94" s="282"/>
      <c r="V94" s="282"/>
      <c r="W94" s="282"/>
      <c r="X94" s="282"/>
      <c r="Y94" s="282"/>
      <c r="Z94" s="282"/>
      <c r="AA94" s="282"/>
      <c r="AB94" s="282"/>
      <c r="AC94" s="282"/>
      <c r="AD94" s="282"/>
      <c r="AE94" s="282"/>
      <c r="AF94" s="282"/>
      <c r="AG94" s="282"/>
      <c r="AH94" s="282"/>
      <c r="AI94" s="282"/>
      <c r="AJ94" s="282"/>
    </row>
    <row r="95" spans="2:36">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c r="AE95" s="304"/>
      <c r="AF95" s="304"/>
      <c r="AG95" s="304"/>
      <c r="AH95" s="304"/>
      <c r="AI95" s="304"/>
      <c r="AJ95" s="304"/>
    </row>
    <row r="96" spans="2:36" s="30" customFormat="1" ht="16">
      <c r="B96" s="259" t="s">
        <v>152</v>
      </c>
      <c r="C96" s="768" t="s">
        <v>366</v>
      </c>
      <c r="D96" s="768"/>
      <c r="E96" s="768"/>
      <c r="F96" s="260"/>
      <c r="G96" s="260"/>
      <c r="H96" s="260"/>
      <c r="I96" s="260"/>
      <c r="J96" s="260"/>
      <c r="K96" s="260"/>
      <c r="L96" s="260"/>
      <c r="M96" s="260"/>
      <c r="N96" s="260"/>
      <c r="O96" s="260"/>
      <c r="P96" s="260"/>
      <c r="Q96" s="260"/>
      <c r="R96" s="260"/>
      <c r="S96" s="260"/>
      <c r="T96" s="260"/>
      <c r="U96" s="260"/>
      <c r="V96" s="260"/>
      <c r="W96" s="260"/>
      <c r="X96" s="260"/>
      <c r="Y96" s="260"/>
      <c r="Z96" s="260"/>
      <c r="AA96" s="260"/>
      <c r="AB96" s="260"/>
      <c r="AC96" s="260"/>
      <c r="AD96" s="260"/>
      <c r="AE96" s="260"/>
      <c r="AF96" s="260"/>
      <c r="AG96" s="260"/>
      <c r="AH96" s="260"/>
      <c r="AI96" s="260"/>
      <c r="AJ96" s="260"/>
    </row>
    <row r="97" spans="2:36" s="30" customFormat="1" ht="16">
      <c r="B97" s="260" t="s">
        <v>127</v>
      </c>
      <c r="C97" s="261" t="s">
        <v>367</v>
      </c>
      <c r="D97" s="261" t="s">
        <v>368</v>
      </c>
      <c r="E97" s="261" t="s">
        <v>369</v>
      </c>
      <c r="F97" s="261">
        <v>0</v>
      </c>
      <c r="G97" s="261">
        <v>1</v>
      </c>
      <c r="H97" s="261">
        <v>2</v>
      </c>
      <c r="I97" s="261">
        <v>3</v>
      </c>
      <c r="J97" s="261">
        <v>4</v>
      </c>
      <c r="K97" s="261">
        <v>5</v>
      </c>
      <c r="L97" s="261">
        <v>6</v>
      </c>
      <c r="M97" s="261">
        <v>7</v>
      </c>
      <c r="N97" s="261">
        <v>8</v>
      </c>
      <c r="O97" s="261">
        <v>9</v>
      </c>
      <c r="P97" s="261">
        <v>10</v>
      </c>
      <c r="Q97" s="261">
        <v>11</v>
      </c>
      <c r="R97" s="261">
        <v>12</v>
      </c>
      <c r="S97" s="261">
        <v>13</v>
      </c>
      <c r="T97" s="261">
        <v>14</v>
      </c>
      <c r="U97" s="261">
        <v>15</v>
      </c>
      <c r="V97" s="261">
        <v>16</v>
      </c>
      <c r="W97" s="261">
        <v>17</v>
      </c>
      <c r="X97" s="261">
        <v>18</v>
      </c>
      <c r="Y97" s="261">
        <v>19</v>
      </c>
      <c r="Z97" s="261">
        <v>20</v>
      </c>
      <c r="AA97" s="261">
        <v>21</v>
      </c>
      <c r="AB97" s="261">
        <v>22</v>
      </c>
      <c r="AC97" s="261">
        <v>23</v>
      </c>
      <c r="AD97" s="261">
        <v>24</v>
      </c>
      <c r="AE97" s="261">
        <v>25</v>
      </c>
      <c r="AF97" s="261">
        <v>26</v>
      </c>
      <c r="AG97" s="261">
        <v>27</v>
      </c>
      <c r="AH97" s="261">
        <v>28</v>
      </c>
      <c r="AI97" s="261">
        <v>29</v>
      </c>
      <c r="AJ97" s="261">
        <v>30</v>
      </c>
    </row>
    <row r="98" spans="2:36" s="30" customFormat="1" ht="16">
      <c r="B98" s="262" t="s">
        <v>128</v>
      </c>
      <c r="C98" s="263" t="s">
        <v>370</v>
      </c>
      <c r="D98" s="263" t="s">
        <v>136</v>
      </c>
      <c r="E98" s="263" t="s">
        <v>370</v>
      </c>
      <c r="F98" s="260"/>
      <c r="G98" s="260"/>
      <c r="H98" s="260"/>
      <c r="I98" s="260"/>
      <c r="J98" s="260"/>
      <c r="K98" s="260"/>
      <c r="L98" s="260"/>
      <c r="M98" s="260"/>
      <c r="N98" s="260"/>
      <c r="O98" s="260"/>
      <c r="P98" s="260"/>
      <c r="Q98" s="260"/>
      <c r="R98" s="260"/>
      <c r="S98" s="260"/>
      <c r="T98" s="260"/>
      <c r="U98" s="260"/>
      <c r="V98" s="260"/>
      <c r="W98" s="260"/>
      <c r="X98" s="260"/>
      <c r="Y98" s="260"/>
      <c r="Z98" s="260"/>
      <c r="AA98" s="260"/>
      <c r="AB98" s="260"/>
      <c r="AC98" s="260"/>
      <c r="AD98" s="260"/>
      <c r="AE98" s="260"/>
      <c r="AF98" s="260"/>
      <c r="AG98" s="260"/>
      <c r="AH98" s="260"/>
      <c r="AI98" s="260"/>
      <c r="AJ98" s="260"/>
    </row>
    <row r="99" spans="2:36" s="30" customFormat="1" ht="16">
      <c r="B99" s="260" t="s">
        <v>77</v>
      </c>
      <c r="C99" s="264">
        <f>IF(Inputs!$G$14="Simple",Inputs!$G$22*Inputs!$P$77,IF(Inputs!$G$14="Intermediate",SUMPRODUCT(Inputs!$G$16:$G$20,Inputs!$P$78:$P$82),'Complex Inputs'!$F$121))</f>
        <v>23500000</v>
      </c>
      <c r="D99" s="517">
        <f t="shared" ref="D99:D106" si="25">C99/$C$110</f>
        <v>0.94</v>
      </c>
      <c r="E99" s="264">
        <f>($C$110-$C$112)*IF(Inputs!$P$73="No",1,(1-Inputs!$P$74))*D99</f>
        <v>10093250</v>
      </c>
      <c r="F99" s="265"/>
      <c r="G99" s="266">
        <v>0.2</v>
      </c>
      <c r="H99" s="266">
        <v>0.32</v>
      </c>
      <c r="I99" s="266">
        <v>0.192</v>
      </c>
      <c r="J99" s="266">
        <v>0.1152</v>
      </c>
      <c r="K99" s="266">
        <v>0.1152</v>
      </c>
      <c r="L99" s="266">
        <v>5.7599999999999998E-2</v>
      </c>
      <c r="M99" s="266">
        <v>0</v>
      </c>
      <c r="N99" s="266">
        <v>0</v>
      </c>
      <c r="O99" s="266">
        <v>0</v>
      </c>
      <c r="P99" s="266">
        <v>0</v>
      </c>
      <c r="Q99" s="266">
        <v>0</v>
      </c>
      <c r="R99" s="266">
        <v>0</v>
      </c>
      <c r="S99" s="266">
        <v>0</v>
      </c>
      <c r="T99" s="266">
        <v>0</v>
      </c>
      <c r="U99" s="266">
        <v>0</v>
      </c>
      <c r="V99" s="266">
        <v>0</v>
      </c>
      <c r="W99" s="266">
        <v>0</v>
      </c>
      <c r="X99" s="266">
        <v>0</v>
      </c>
      <c r="Y99" s="266">
        <v>0</v>
      </c>
      <c r="Z99" s="266">
        <v>0</v>
      </c>
      <c r="AA99" s="266">
        <v>0</v>
      </c>
      <c r="AB99" s="266">
        <v>0</v>
      </c>
      <c r="AC99" s="266">
        <v>0</v>
      </c>
      <c r="AD99" s="266">
        <v>0</v>
      </c>
      <c r="AE99" s="266">
        <v>0</v>
      </c>
      <c r="AF99" s="266">
        <v>0</v>
      </c>
      <c r="AG99" s="266">
        <v>0</v>
      </c>
      <c r="AH99" s="266">
        <v>0</v>
      </c>
      <c r="AI99" s="266">
        <v>0</v>
      </c>
      <c r="AJ99" s="266">
        <v>0</v>
      </c>
    </row>
    <row r="100" spans="2:36" s="30" customFormat="1" ht="16">
      <c r="B100" s="260" t="s">
        <v>129</v>
      </c>
      <c r="C100" s="264">
        <f>IF(Inputs!$G$14="Simple",Inputs!$G$22*Inputs!$Q$77,IF(Inputs!$G$14="Intermediate",SUMPRODUCT(Inputs!$G$16:$G$20,Inputs!$Q$78:$Q$82),'Complex Inputs'!$G$121))</f>
        <v>0</v>
      </c>
      <c r="D100" s="517">
        <f t="shared" si="25"/>
        <v>0</v>
      </c>
      <c r="E100" s="264">
        <f>($C$110-$C$112)*IF(Inputs!$P$73="No",1,(1-Inputs!$P$74))*D100</f>
        <v>0</v>
      </c>
      <c r="F100" s="260"/>
      <c r="G100" s="266">
        <v>0.1429</v>
      </c>
      <c r="H100" s="266">
        <v>0.24490000000000001</v>
      </c>
      <c r="I100" s="266">
        <v>0.1749</v>
      </c>
      <c r="J100" s="266">
        <v>0.1249</v>
      </c>
      <c r="K100" s="266">
        <v>8.9300000000000004E-2</v>
      </c>
      <c r="L100" s="266">
        <v>8.9200000000000002E-2</v>
      </c>
      <c r="M100" s="266">
        <v>8.9300000000000004E-2</v>
      </c>
      <c r="N100" s="266">
        <v>4.4600000000000001E-2</v>
      </c>
      <c r="O100" s="266">
        <v>0</v>
      </c>
      <c r="P100" s="266">
        <v>0</v>
      </c>
      <c r="Q100" s="266">
        <v>0</v>
      </c>
      <c r="R100" s="266">
        <v>0</v>
      </c>
      <c r="S100" s="266">
        <v>0</v>
      </c>
      <c r="T100" s="266">
        <v>0</v>
      </c>
      <c r="U100" s="266">
        <v>0</v>
      </c>
      <c r="V100" s="266">
        <v>0</v>
      </c>
      <c r="W100" s="266">
        <v>0</v>
      </c>
      <c r="X100" s="266">
        <v>0</v>
      </c>
      <c r="Y100" s="266">
        <v>0</v>
      </c>
      <c r="Z100" s="266">
        <v>0</v>
      </c>
      <c r="AA100" s="266">
        <v>0</v>
      </c>
      <c r="AB100" s="266">
        <v>0</v>
      </c>
      <c r="AC100" s="266">
        <v>0</v>
      </c>
      <c r="AD100" s="266">
        <v>0</v>
      </c>
      <c r="AE100" s="266">
        <v>0</v>
      </c>
      <c r="AF100" s="266">
        <v>0</v>
      </c>
      <c r="AG100" s="266">
        <v>0</v>
      </c>
      <c r="AH100" s="266">
        <v>0</v>
      </c>
      <c r="AI100" s="266">
        <v>0</v>
      </c>
      <c r="AJ100" s="266">
        <v>0</v>
      </c>
    </row>
    <row r="101" spans="2:36" s="30" customFormat="1" ht="16">
      <c r="B101" s="260" t="s">
        <v>78</v>
      </c>
      <c r="C101" s="264">
        <f>IF(Inputs!$G$14="Simple",Inputs!$G$22*Inputs!$R$77,IF(Inputs!$G$14="Intermediate",SUMPRODUCT(Inputs!$G$16:$G$20,Inputs!$R$78:$R$82),'Complex Inputs'!$H$121))</f>
        <v>375000</v>
      </c>
      <c r="D101" s="517">
        <f t="shared" si="25"/>
        <v>1.4999999999999999E-2</v>
      </c>
      <c r="E101" s="264">
        <f>($C$110-$C$112)*IF(Inputs!$P$73="No",1,(1-Inputs!$P$74))*D101</f>
        <v>161062.5</v>
      </c>
      <c r="F101" s="260"/>
      <c r="G101" s="266">
        <v>0.05</v>
      </c>
      <c r="H101" s="266">
        <v>9.5000000000000001E-2</v>
      </c>
      <c r="I101" s="266">
        <v>8.5500000000000007E-2</v>
      </c>
      <c r="J101" s="266">
        <v>7.6999999999999999E-2</v>
      </c>
      <c r="K101" s="266">
        <v>6.93E-2</v>
      </c>
      <c r="L101" s="266">
        <v>6.2300000000000001E-2</v>
      </c>
      <c r="M101" s="266">
        <v>5.8999999999999997E-2</v>
      </c>
      <c r="N101" s="266">
        <v>5.8999999999999997E-2</v>
      </c>
      <c r="O101" s="266">
        <v>5.91E-2</v>
      </c>
      <c r="P101" s="266">
        <v>5.8999999999999997E-2</v>
      </c>
      <c r="Q101" s="266">
        <v>5.91E-2</v>
      </c>
      <c r="R101" s="266">
        <v>5.8999999999999997E-2</v>
      </c>
      <c r="S101" s="266">
        <v>5.91E-2</v>
      </c>
      <c r="T101" s="266">
        <v>5.8999999999999997E-2</v>
      </c>
      <c r="U101" s="266">
        <v>5.91E-2</v>
      </c>
      <c r="V101" s="266">
        <v>2.9499999999999998E-2</v>
      </c>
      <c r="W101" s="266">
        <v>0</v>
      </c>
      <c r="X101" s="266">
        <v>0</v>
      </c>
      <c r="Y101" s="266">
        <v>0</v>
      </c>
      <c r="Z101" s="266">
        <v>0</v>
      </c>
      <c r="AA101" s="266">
        <v>0</v>
      </c>
      <c r="AB101" s="266">
        <v>0</v>
      </c>
      <c r="AC101" s="266">
        <v>0</v>
      </c>
      <c r="AD101" s="266">
        <v>0</v>
      </c>
      <c r="AE101" s="266">
        <v>0</v>
      </c>
      <c r="AF101" s="266">
        <v>0</v>
      </c>
      <c r="AG101" s="266">
        <v>0</v>
      </c>
      <c r="AH101" s="266">
        <v>0</v>
      </c>
      <c r="AI101" s="266">
        <v>0</v>
      </c>
      <c r="AJ101" s="266">
        <v>0</v>
      </c>
    </row>
    <row r="102" spans="2:36" s="30" customFormat="1" ht="16">
      <c r="B102" s="260" t="s">
        <v>79</v>
      </c>
      <c r="C102" s="264">
        <f>IF(Inputs!$G$14="Simple",Inputs!$G$22*Inputs!$U$77,IF(Inputs!$G$14="Intermediate",SUMPRODUCT(Inputs!$G$16:$G$20,Inputs!$U$78:$U$82),'Complex Inputs'!$I$121))</f>
        <v>250000</v>
      </c>
      <c r="D102" s="517">
        <f t="shared" si="25"/>
        <v>0.01</v>
      </c>
      <c r="E102" s="264">
        <f>($C$110-$C$112)*IF(Inputs!$P$73="No",1,(1-Inputs!$P$74))*D102</f>
        <v>107375</v>
      </c>
      <c r="F102" s="260"/>
      <c r="G102" s="266">
        <v>3.7499999999999999E-2</v>
      </c>
      <c r="H102" s="266">
        <v>7.2190000000000004E-2</v>
      </c>
      <c r="I102" s="266">
        <v>6.6769999999999996E-2</v>
      </c>
      <c r="J102" s="266">
        <v>6.1769999999999999E-2</v>
      </c>
      <c r="K102" s="266">
        <v>5.713E-2</v>
      </c>
      <c r="L102" s="266">
        <v>5.2850000000000001E-2</v>
      </c>
      <c r="M102" s="266">
        <v>4.888E-2</v>
      </c>
      <c r="N102" s="266">
        <v>4.5220000000000003E-2</v>
      </c>
      <c r="O102" s="266">
        <v>4.462E-2</v>
      </c>
      <c r="P102" s="266">
        <v>4.4609999999999997E-2</v>
      </c>
      <c r="Q102" s="266">
        <v>4.462E-2</v>
      </c>
      <c r="R102" s="266">
        <v>4.4609999999999997E-2</v>
      </c>
      <c r="S102" s="266">
        <v>4.462E-2</v>
      </c>
      <c r="T102" s="266">
        <v>4.4609999999999997E-2</v>
      </c>
      <c r="U102" s="266">
        <v>4.462E-2</v>
      </c>
      <c r="V102" s="266">
        <v>4.4609999999999997E-2</v>
      </c>
      <c r="W102" s="266">
        <v>4.462E-2</v>
      </c>
      <c r="X102" s="266">
        <v>4.4609999999999997E-2</v>
      </c>
      <c r="Y102" s="266">
        <v>4.462E-2</v>
      </c>
      <c r="Z102" s="266">
        <v>4.4609999999999997E-2</v>
      </c>
      <c r="AA102" s="266">
        <v>2.231E-2</v>
      </c>
      <c r="AB102" s="266">
        <v>0</v>
      </c>
      <c r="AC102" s="266">
        <v>0</v>
      </c>
      <c r="AD102" s="266">
        <v>0</v>
      </c>
      <c r="AE102" s="266">
        <v>0</v>
      </c>
      <c r="AF102" s="266">
        <v>0</v>
      </c>
      <c r="AG102" s="266">
        <v>0</v>
      </c>
      <c r="AH102" s="266">
        <v>0</v>
      </c>
      <c r="AI102" s="266">
        <v>0</v>
      </c>
      <c r="AJ102" s="266">
        <v>0</v>
      </c>
    </row>
    <row r="103" spans="2:36" s="30" customFormat="1" ht="16">
      <c r="B103" s="260" t="s">
        <v>130</v>
      </c>
      <c r="C103" s="264">
        <f>IF(Inputs!$G$14="Simple",Inputs!$G$22*Inputs!$V$77,IF(Inputs!$G$14="Intermediate",SUMPRODUCT(Inputs!$G$16:$G$20,Inputs!$V$78:$V$82),'Complex Inputs'!$J$121))</f>
        <v>0</v>
      </c>
      <c r="D103" s="517">
        <f t="shared" si="25"/>
        <v>0</v>
      </c>
      <c r="E103" s="264">
        <f>($C$110-$C$112)*IF(Inputs!$P$73="No",1,(1-Inputs!$P$74))*D103</f>
        <v>0</v>
      </c>
      <c r="F103" s="260"/>
      <c r="G103" s="266">
        <v>0.1</v>
      </c>
      <c r="H103" s="266">
        <v>0.2</v>
      </c>
      <c r="I103" s="266">
        <v>0.2</v>
      </c>
      <c r="J103" s="266">
        <v>0.2</v>
      </c>
      <c r="K103" s="266">
        <v>0.2</v>
      </c>
      <c r="L103" s="266">
        <v>0.1</v>
      </c>
      <c r="M103" s="266">
        <f t="shared" ref="M103:AJ103" si="26">IF(M$97&lt;=5, 1/5,0)</f>
        <v>0</v>
      </c>
      <c r="N103" s="266">
        <f t="shared" si="26"/>
        <v>0</v>
      </c>
      <c r="O103" s="266">
        <f t="shared" si="26"/>
        <v>0</v>
      </c>
      <c r="P103" s="266">
        <f t="shared" si="26"/>
        <v>0</v>
      </c>
      <c r="Q103" s="266">
        <f t="shared" si="26"/>
        <v>0</v>
      </c>
      <c r="R103" s="266">
        <f t="shared" si="26"/>
        <v>0</v>
      </c>
      <c r="S103" s="266">
        <f t="shared" si="26"/>
        <v>0</v>
      </c>
      <c r="T103" s="266">
        <f t="shared" si="26"/>
        <v>0</v>
      </c>
      <c r="U103" s="266">
        <f t="shared" si="26"/>
        <v>0</v>
      </c>
      <c r="V103" s="266">
        <f t="shared" si="26"/>
        <v>0</v>
      </c>
      <c r="W103" s="266">
        <f t="shared" si="26"/>
        <v>0</v>
      </c>
      <c r="X103" s="266">
        <f t="shared" si="26"/>
        <v>0</v>
      </c>
      <c r="Y103" s="266">
        <f t="shared" si="26"/>
        <v>0</v>
      </c>
      <c r="Z103" s="266">
        <f t="shared" si="26"/>
        <v>0</v>
      </c>
      <c r="AA103" s="266">
        <f t="shared" si="26"/>
        <v>0</v>
      </c>
      <c r="AB103" s="266">
        <f t="shared" si="26"/>
        <v>0</v>
      </c>
      <c r="AC103" s="266">
        <f t="shared" si="26"/>
        <v>0</v>
      </c>
      <c r="AD103" s="266">
        <f t="shared" si="26"/>
        <v>0</v>
      </c>
      <c r="AE103" s="266">
        <f t="shared" si="26"/>
        <v>0</v>
      </c>
      <c r="AF103" s="266">
        <f t="shared" si="26"/>
        <v>0</v>
      </c>
      <c r="AG103" s="266">
        <f t="shared" si="26"/>
        <v>0</v>
      </c>
      <c r="AH103" s="266">
        <f t="shared" si="26"/>
        <v>0</v>
      </c>
      <c r="AI103" s="266">
        <f t="shared" si="26"/>
        <v>0</v>
      </c>
      <c r="AJ103" s="266">
        <f t="shared" si="26"/>
        <v>0</v>
      </c>
    </row>
    <row r="104" spans="2:36" s="30" customFormat="1" ht="16">
      <c r="B104" s="260" t="s">
        <v>131</v>
      </c>
      <c r="C104" s="264">
        <f>IF(Inputs!$G$14="Simple",Inputs!$G$22*Inputs!$W$77,IF(Inputs!$G$14="Intermediate",SUMPRODUCT(Inputs!$G$16:$G$20,Inputs!$W$78:$W$82),'Complex Inputs'!$K$121))</f>
        <v>0</v>
      </c>
      <c r="D104" s="517">
        <f t="shared" si="25"/>
        <v>0</v>
      </c>
      <c r="E104" s="264">
        <f>($C$110-$C$112)*IF(Inputs!$P$73="No",1,(1-Inputs!$P$74))*D104</f>
        <v>0</v>
      </c>
      <c r="F104" s="260"/>
      <c r="G104" s="266">
        <v>3.3300000000000003E-2</v>
      </c>
      <c r="H104" s="266">
        <v>6.6699999999999995E-2</v>
      </c>
      <c r="I104" s="266">
        <v>6.6699999999999995E-2</v>
      </c>
      <c r="J104" s="266">
        <v>6.6699999999999995E-2</v>
      </c>
      <c r="K104" s="266">
        <v>6.6699999999999995E-2</v>
      </c>
      <c r="L104" s="266">
        <v>6.6699999999999995E-2</v>
      </c>
      <c r="M104" s="266">
        <v>6.6699999999999995E-2</v>
      </c>
      <c r="N104" s="266">
        <v>6.6699999999999995E-2</v>
      </c>
      <c r="O104" s="266">
        <v>6.6699999999999995E-2</v>
      </c>
      <c r="P104" s="266">
        <v>6.6699999999999995E-2</v>
      </c>
      <c r="Q104" s="266">
        <v>6.6699999999999995E-2</v>
      </c>
      <c r="R104" s="266">
        <v>6.6600000000000006E-2</v>
      </c>
      <c r="S104" s="266">
        <v>6.6600000000000006E-2</v>
      </c>
      <c r="T104" s="266">
        <v>6.6600000000000006E-2</v>
      </c>
      <c r="U104" s="266">
        <v>6.6600000000000006E-2</v>
      </c>
      <c r="V104" s="266">
        <v>3.3300000000000003E-2</v>
      </c>
      <c r="W104" s="266">
        <f t="shared" ref="W104:AJ104" si="27">IF(W$97&lt;=15, 1/15,0)</f>
        <v>0</v>
      </c>
      <c r="X104" s="266">
        <f t="shared" si="27"/>
        <v>0</v>
      </c>
      <c r="Y104" s="266">
        <f t="shared" si="27"/>
        <v>0</v>
      </c>
      <c r="Z104" s="266">
        <f t="shared" si="27"/>
        <v>0</v>
      </c>
      <c r="AA104" s="266">
        <f t="shared" si="27"/>
        <v>0</v>
      </c>
      <c r="AB104" s="266">
        <f t="shared" si="27"/>
        <v>0</v>
      </c>
      <c r="AC104" s="266">
        <f t="shared" si="27"/>
        <v>0</v>
      </c>
      <c r="AD104" s="266">
        <f t="shared" si="27"/>
        <v>0</v>
      </c>
      <c r="AE104" s="266">
        <f t="shared" si="27"/>
        <v>0</v>
      </c>
      <c r="AF104" s="266">
        <f t="shared" si="27"/>
        <v>0</v>
      </c>
      <c r="AG104" s="266">
        <f t="shared" si="27"/>
        <v>0</v>
      </c>
      <c r="AH104" s="266">
        <f t="shared" si="27"/>
        <v>0</v>
      </c>
      <c r="AI104" s="266">
        <f t="shared" si="27"/>
        <v>0</v>
      </c>
      <c r="AJ104" s="266">
        <f t="shared" si="27"/>
        <v>0</v>
      </c>
    </row>
    <row r="105" spans="2:36" s="30" customFormat="1" ht="16">
      <c r="B105" s="260" t="s">
        <v>80</v>
      </c>
      <c r="C105" s="264">
        <f>IF(Inputs!$G$14="Simple",Inputs!$G$22*Inputs!$X$77,IF(Inputs!$G$14="Intermediate",SUMPRODUCT(Inputs!$G$16:$G$20,Inputs!$X$78:$X$82),'Complex Inputs'!$L$121))</f>
        <v>250000</v>
      </c>
      <c r="D105" s="517">
        <f t="shared" si="25"/>
        <v>0.01</v>
      </c>
      <c r="E105" s="264">
        <f>($C$110-$C$112)*IF(Inputs!$P$73="No",1,(1-Inputs!$P$74))*D105</f>
        <v>107375</v>
      </c>
      <c r="F105" s="260"/>
      <c r="G105" s="266">
        <v>2.5000000000000001E-2</v>
      </c>
      <c r="H105" s="266">
        <v>0.05</v>
      </c>
      <c r="I105" s="266">
        <v>0.05</v>
      </c>
      <c r="J105" s="266">
        <v>0.05</v>
      </c>
      <c r="K105" s="266">
        <v>0.05</v>
      </c>
      <c r="L105" s="266">
        <v>0.05</v>
      </c>
      <c r="M105" s="266">
        <v>0.05</v>
      </c>
      <c r="N105" s="266">
        <v>0.05</v>
      </c>
      <c r="O105" s="266">
        <v>0.05</v>
      </c>
      <c r="P105" s="266">
        <v>0.05</v>
      </c>
      <c r="Q105" s="266">
        <v>0.05</v>
      </c>
      <c r="R105" s="266">
        <v>0.05</v>
      </c>
      <c r="S105" s="266">
        <v>0.05</v>
      </c>
      <c r="T105" s="266">
        <v>0.05</v>
      </c>
      <c r="U105" s="266">
        <v>0.05</v>
      </c>
      <c r="V105" s="266">
        <v>0.05</v>
      </c>
      <c r="W105" s="266">
        <v>0.05</v>
      </c>
      <c r="X105" s="266">
        <v>0.05</v>
      </c>
      <c r="Y105" s="266">
        <v>0.05</v>
      </c>
      <c r="Z105" s="266">
        <v>0.05</v>
      </c>
      <c r="AA105" s="266">
        <v>2.5000000000000001E-2</v>
      </c>
      <c r="AB105" s="266">
        <f t="shared" ref="AB105:AJ105" si="28">IF(AB$97&lt;=20, 1/20,0)</f>
        <v>0</v>
      </c>
      <c r="AC105" s="266">
        <f t="shared" si="28"/>
        <v>0</v>
      </c>
      <c r="AD105" s="266">
        <f t="shared" si="28"/>
        <v>0</v>
      </c>
      <c r="AE105" s="266">
        <f t="shared" si="28"/>
        <v>0</v>
      </c>
      <c r="AF105" s="266">
        <f t="shared" si="28"/>
        <v>0</v>
      </c>
      <c r="AG105" s="266">
        <f t="shared" si="28"/>
        <v>0</v>
      </c>
      <c r="AH105" s="266">
        <f t="shared" si="28"/>
        <v>0</v>
      </c>
      <c r="AI105" s="266">
        <f t="shared" si="28"/>
        <v>0</v>
      </c>
      <c r="AJ105" s="266">
        <f t="shared" si="28"/>
        <v>0</v>
      </c>
    </row>
    <row r="106" spans="2:36" s="30" customFormat="1" ht="16">
      <c r="B106" s="260" t="s">
        <v>81</v>
      </c>
      <c r="C106" s="264">
        <f>IF(Inputs!$G$14="Simple",Inputs!$G$22*Inputs!$Y$77,IF(Inputs!$G$14="Intermediate",SUMPRODUCT(Inputs!$G$16:$G$20,Inputs!$Y$78:$Y$82),'Complex Inputs'!$M$121))</f>
        <v>0</v>
      </c>
      <c r="D106" s="517">
        <f t="shared" si="25"/>
        <v>0</v>
      </c>
      <c r="E106" s="264">
        <f>($C$110-$C$112)*IF(Inputs!$P$73="No",1,(1-Inputs!$P$74))*D106</f>
        <v>0</v>
      </c>
      <c r="F106" s="260"/>
      <c r="G106" s="266">
        <v>1.2800000000000001E-2</v>
      </c>
      <c r="H106" s="266">
        <v>2.5600000000000001E-2</v>
      </c>
      <c r="I106" s="266">
        <v>2.5600000000000001E-2</v>
      </c>
      <c r="J106" s="266">
        <v>2.5600000000000001E-2</v>
      </c>
      <c r="K106" s="266">
        <v>2.5600000000000001E-2</v>
      </c>
      <c r="L106" s="266">
        <v>2.5600000000000001E-2</v>
      </c>
      <c r="M106" s="266">
        <v>2.5600000000000001E-2</v>
      </c>
      <c r="N106" s="266">
        <v>2.5600000000000001E-2</v>
      </c>
      <c r="O106" s="266">
        <v>2.5600000000000001E-2</v>
      </c>
      <c r="P106" s="266">
        <v>2.5600000000000001E-2</v>
      </c>
      <c r="Q106" s="266">
        <v>2.5600000000000001E-2</v>
      </c>
      <c r="R106" s="266">
        <v>2.5600000000000001E-2</v>
      </c>
      <c r="S106" s="266">
        <v>2.5600000000000001E-2</v>
      </c>
      <c r="T106" s="266">
        <v>2.5600000000000001E-2</v>
      </c>
      <c r="U106" s="266">
        <v>2.5600000000000001E-2</v>
      </c>
      <c r="V106" s="266">
        <v>2.5600000000000001E-2</v>
      </c>
      <c r="W106" s="266">
        <v>2.5600000000000001E-2</v>
      </c>
      <c r="X106" s="266">
        <v>2.5600000000000001E-2</v>
      </c>
      <c r="Y106" s="266">
        <v>2.5600000000000001E-2</v>
      </c>
      <c r="Z106" s="266">
        <v>2.5600000000000001E-2</v>
      </c>
      <c r="AA106" s="266">
        <v>2.5600000000000001E-2</v>
      </c>
      <c r="AB106" s="266">
        <v>2.5600000000000001E-2</v>
      </c>
      <c r="AC106" s="266">
        <v>2.5600000000000001E-2</v>
      </c>
      <c r="AD106" s="266">
        <v>2.5600000000000001E-2</v>
      </c>
      <c r="AE106" s="266">
        <v>2.5600000000000001E-2</v>
      </c>
      <c r="AF106" s="266">
        <v>2.5600000000000001E-2</v>
      </c>
      <c r="AG106" s="266">
        <v>2.5600000000000001E-2</v>
      </c>
      <c r="AH106" s="266">
        <v>2.5600000000000001E-2</v>
      </c>
      <c r="AI106" s="266">
        <v>2.5600000000000001E-2</v>
      </c>
      <c r="AJ106" s="266">
        <v>2.5600000000000001E-2</v>
      </c>
    </row>
    <row r="107" spans="2:36" s="30" customFormat="1" ht="16">
      <c r="B107" s="260" t="s">
        <v>363</v>
      </c>
      <c r="C107" s="264"/>
      <c r="D107" s="517"/>
      <c r="E107" s="264">
        <f>($C$110-$C$112)*IF(Inputs!$P$73="No",0,Inputs!$P$74)</f>
        <v>10737500</v>
      </c>
      <c r="F107" s="260"/>
      <c r="G107" s="266">
        <v>1</v>
      </c>
      <c r="H107" s="266">
        <v>0</v>
      </c>
      <c r="I107" s="266">
        <v>0</v>
      </c>
      <c r="J107" s="266">
        <v>0</v>
      </c>
      <c r="K107" s="266">
        <v>0</v>
      </c>
      <c r="L107" s="266">
        <v>0</v>
      </c>
      <c r="M107" s="266">
        <v>0</v>
      </c>
      <c r="N107" s="266">
        <v>0</v>
      </c>
      <c r="O107" s="266">
        <v>0</v>
      </c>
      <c r="P107" s="266">
        <v>0</v>
      </c>
      <c r="Q107" s="266">
        <v>0</v>
      </c>
      <c r="R107" s="266">
        <v>0</v>
      </c>
      <c r="S107" s="266">
        <v>0</v>
      </c>
      <c r="T107" s="266">
        <v>0</v>
      </c>
      <c r="U107" s="266">
        <v>0</v>
      </c>
      <c r="V107" s="266">
        <v>0</v>
      </c>
      <c r="W107" s="266">
        <v>0</v>
      </c>
      <c r="X107" s="266">
        <v>0</v>
      </c>
      <c r="Y107" s="266">
        <v>0</v>
      </c>
      <c r="Z107" s="266">
        <v>0</v>
      </c>
      <c r="AA107" s="266">
        <v>0</v>
      </c>
      <c r="AB107" s="266">
        <v>0</v>
      </c>
      <c r="AC107" s="266">
        <v>0</v>
      </c>
      <c r="AD107" s="266">
        <v>0</v>
      </c>
      <c r="AE107" s="266">
        <v>0</v>
      </c>
      <c r="AF107" s="266">
        <v>0</v>
      </c>
      <c r="AG107" s="266">
        <v>0</v>
      </c>
      <c r="AH107" s="266">
        <v>0</v>
      </c>
      <c r="AI107" s="266">
        <v>0</v>
      </c>
      <c r="AJ107" s="266">
        <v>0</v>
      </c>
    </row>
    <row r="108" spans="2:36" s="30" customFormat="1" ht="16">
      <c r="B108" s="273" t="s">
        <v>24</v>
      </c>
      <c r="C108" s="519">
        <f>IF(Inputs!$G$14="Simple",Inputs!$G$22*Inputs!$Z$77,IF(Inputs!$G$14="Intermediate",SUMPRODUCT(Inputs!$G$16:$G$20,Inputs!$Z$78:$Z$82),'Complex Inputs'!$N$121))</f>
        <v>625000</v>
      </c>
      <c r="D108" s="520">
        <f>C108/$C$110</f>
        <v>2.5000000000000001E-2</v>
      </c>
      <c r="E108" s="519">
        <f>($C$110-$C$112)*IF(Inputs!$P$73="No",1,(1-Inputs!$P$74))*D108</f>
        <v>268437.5</v>
      </c>
      <c r="F108" s="260"/>
      <c r="G108" s="267"/>
      <c r="H108" s="267"/>
      <c r="I108" s="267"/>
      <c r="J108" s="267"/>
      <c r="K108" s="267"/>
      <c r="L108" s="267"/>
      <c r="M108" s="267"/>
      <c r="N108" s="267"/>
      <c r="O108" s="267"/>
      <c r="P108" s="267"/>
      <c r="Q108" s="267"/>
      <c r="R108" s="267"/>
      <c r="S108" s="267"/>
      <c r="T108" s="267"/>
      <c r="U108" s="267"/>
      <c r="V108" s="267"/>
      <c r="W108" s="267"/>
      <c r="X108" s="267"/>
      <c r="Y108" s="267"/>
      <c r="Z108" s="267"/>
      <c r="AA108" s="267"/>
      <c r="AB108" s="267"/>
      <c r="AC108" s="267"/>
      <c r="AD108" s="267"/>
      <c r="AE108" s="267"/>
      <c r="AF108" s="267"/>
      <c r="AG108" s="267"/>
      <c r="AH108" s="267"/>
      <c r="AI108" s="267"/>
      <c r="AJ108" s="267"/>
    </row>
    <row r="109" spans="2:36" s="30" customFormat="1" ht="16">
      <c r="B109" s="344"/>
      <c r="C109" s="516" t="s">
        <v>371</v>
      </c>
      <c r="D109" s="516"/>
      <c r="E109" s="516" t="s">
        <v>372</v>
      </c>
      <c r="F109" s="260"/>
      <c r="G109" s="267"/>
      <c r="H109" s="267"/>
      <c r="I109" s="267"/>
      <c r="J109" s="267"/>
      <c r="K109" s="267"/>
      <c r="L109" s="267"/>
      <c r="M109" s="267"/>
      <c r="N109" s="267"/>
      <c r="O109" s="267"/>
      <c r="P109" s="267"/>
      <c r="Q109" s="267"/>
      <c r="R109" s="267"/>
      <c r="S109" s="267"/>
      <c r="T109" s="267"/>
      <c r="U109" s="267"/>
      <c r="V109" s="267"/>
      <c r="W109" s="267"/>
      <c r="X109" s="267"/>
      <c r="Y109" s="267"/>
      <c r="Z109" s="267"/>
      <c r="AA109" s="267"/>
      <c r="AB109" s="267"/>
      <c r="AC109" s="267"/>
      <c r="AD109" s="267"/>
      <c r="AE109" s="267"/>
      <c r="AF109" s="267"/>
      <c r="AG109" s="267"/>
      <c r="AH109" s="267"/>
      <c r="AI109" s="267"/>
      <c r="AJ109" s="267"/>
    </row>
    <row r="110" spans="2:36" s="30" customFormat="1" ht="16">
      <c r="B110" s="259" t="s">
        <v>373</v>
      </c>
      <c r="C110" s="269">
        <f>SUM(C99:C108)</f>
        <v>25000000</v>
      </c>
      <c r="D110" s="517">
        <f>SUM(D99:D108)</f>
        <v>1</v>
      </c>
      <c r="E110" s="269">
        <f>SUM(E99:E108)</f>
        <v>21475000</v>
      </c>
      <c r="F110" s="260"/>
      <c r="G110" s="267"/>
      <c r="H110" s="267"/>
      <c r="I110" s="267"/>
      <c r="J110" s="267"/>
      <c r="K110" s="267"/>
      <c r="L110" s="267"/>
      <c r="M110" s="267"/>
      <c r="N110" s="267"/>
      <c r="O110" s="267"/>
      <c r="P110" s="267"/>
      <c r="Q110" s="267"/>
      <c r="R110" s="267"/>
      <c r="S110" s="267"/>
      <c r="T110" s="267"/>
      <c r="U110" s="267"/>
      <c r="V110" s="267"/>
      <c r="W110" s="267"/>
      <c r="X110" s="267"/>
      <c r="Y110" s="267"/>
      <c r="Z110" s="267"/>
      <c r="AA110" s="267"/>
      <c r="AB110" s="267"/>
      <c r="AC110" s="267"/>
      <c r="AD110" s="267"/>
      <c r="AE110" s="267"/>
      <c r="AF110" s="267"/>
      <c r="AG110" s="267"/>
      <c r="AH110" s="267"/>
      <c r="AI110" s="267"/>
      <c r="AJ110" s="267"/>
    </row>
    <row r="111" spans="2:36" s="30" customFormat="1" ht="16">
      <c r="B111" s="344"/>
      <c r="C111" s="518" t="str">
        <f>IF(C110=Inputs!$G$22,"OK","error")</f>
        <v>OK</v>
      </c>
      <c r="D111" s="518" t="str">
        <f>IF(D110=100%,"OK","error")</f>
        <v>OK</v>
      </c>
      <c r="E111" s="518" t="str">
        <f>IF(E110=(C110-C112),"OK","error")</f>
        <v>OK</v>
      </c>
      <c r="F111" s="260"/>
      <c r="G111" s="267"/>
      <c r="H111" s="267"/>
      <c r="I111" s="267"/>
      <c r="J111" s="267"/>
      <c r="K111" s="267"/>
      <c r="L111" s="267"/>
      <c r="M111" s="267"/>
      <c r="N111" s="267"/>
      <c r="O111" s="267"/>
      <c r="P111" s="267"/>
      <c r="Q111" s="267"/>
      <c r="R111" s="267"/>
      <c r="S111" s="267"/>
      <c r="T111" s="267"/>
      <c r="U111" s="267"/>
      <c r="V111" s="267"/>
      <c r="W111" s="267"/>
      <c r="X111" s="267"/>
      <c r="Y111" s="267"/>
      <c r="Z111" s="267"/>
      <c r="AA111" s="267"/>
      <c r="AB111" s="267"/>
      <c r="AC111" s="267"/>
      <c r="AD111" s="267"/>
      <c r="AE111" s="267"/>
      <c r="AF111" s="267"/>
      <c r="AG111" s="267"/>
      <c r="AH111" s="267"/>
      <c r="AI111" s="267"/>
      <c r="AJ111" s="267"/>
    </row>
    <row r="112" spans="2:36" s="30" customFormat="1" ht="16">
      <c r="B112" s="260" t="s">
        <v>362</v>
      </c>
      <c r="C112" s="264">
        <f>IF(OR(Inputs!$Q$18="Performance-Based",Inputs!$Q$18="Neither"),0,50%*Inputs!$Q$22)+IF(Inputs!$Q$29="Yes",0,Inputs!$Q$28)+IF(Inputs!$Q$46="Yes",0,IF(Inputs!$Q$45=0,Inputs!$Q$44*Inputs!$G$7,MIN(Inputs!$Q$45,Inputs!$Q$44*Inputs!$G$7)))</f>
        <v>3525000</v>
      </c>
      <c r="D112" s="260"/>
      <c r="E112" s="264"/>
      <c r="F112" s="260"/>
      <c r="G112" s="267"/>
      <c r="H112" s="267"/>
      <c r="I112" s="267"/>
      <c r="J112" s="267"/>
      <c r="K112" s="267"/>
      <c r="L112" s="267"/>
      <c r="M112" s="267"/>
      <c r="N112" s="267"/>
      <c r="O112" s="267"/>
      <c r="P112" s="267"/>
      <c r="Q112" s="267"/>
      <c r="R112" s="267"/>
      <c r="S112" s="267"/>
      <c r="T112" s="267"/>
      <c r="U112" s="267"/>
      <c r="V112" s="267"/>
      <c r="W112" s="267"/>
      <c r="X112" s="267"/>
      <c r="Y112" s="267"/>
      <c r="Z112" s="267"/>
      <c r="AA112" s="267"/>
      <c r="AB112" s="267"/>
      <c r="AC112" s="267"/>
      <c r="AD112" s="267"/>
      <c r="AE112" s="267"/>
      <c r="AF112" s="267"/>
      <c r="AG112" s="267"/>
      <c r="AH112" s="267"/>
      <c r="AI112" s="267"/>
      <c r="AJ112" s="267"/>
    </row>
    <row r="113" spans="2:36" s="30" customFormat="1" ht="16">
      <c r="B113" s="260"/>
      <c r="C113" s="260"/>
      <c r="D113" s="260"/>
      <c r="E113" s="264"/>
      <c r="F113" s="260"/>
      <c r="G113" s="267"/>
      <c r="H113" s="267"/>
      <c r="I113" s="267"/>
      <c r="J113" s="267"/>
      <c r="K113" s="267"/>
      <c r="L113" s="267"/>
      <c r="M113" s="267"/>
      <c r="N113" s="267"/>
      <c r="O113" s="267"/>
      <c r="P113" s="267"/>
      <c r="Q113" s="267"/>
      <c r="R113" s="267"/>
      <c r="S113" s="267"/>
      <c r="T113" s="267"/>
      <c r="U113" s="267"/>
      <c r="V113" s="267"/>
      <c r="W113" s="267"/>
      <c r="X113" s="267"/>
      <c r="Y113" s="267"/>
      <c r="Z113" s="267"/>
      <c r="AA113" s="267"/>
      <c r="AB113" s="267"/>
      <c r="AC113" s="267"/>
      <c r="AD113" s="267"/>
      <c r="AE113" s="267"/>
      <c r="AF113" s="267"/>
      <c r="AG113" s="267"/>
      <c r="AH113" s="267"/>
      <c r="AI113" s="267"/>
      <c r="AJ113" s="267"/>
    </row>
    <row r="114" spans="2:36" s="30" customFormat="1" ht="16">
      <c r="B114" s="262" t="s">
        <v>153</v>
      </c>
      <c r="C114" s="262"/>
      <c r="D114" s="262"/>
      <c r="E114" s="260"/>
      <c r="F114" s="260"/>
      <c r="G114" s="267"/>
      <c r="H114" s="267"/>
      <c r="I114" s="267"/>
      <c r="J114" s="267"/>
      <c r="K114" s="267"/>
      <c r="L114" s="267"/>
      <c r="M114" s="267"/>
      <c r="N114" s="267"/>
      <c r="O114" s="267"/>
      <c r="P114" s="267"/>
      <c r="Q114" s="267"/>
      <c r="R114" s="267"/>
      <c r="S114" s="267"/>
      <c r="T114" s="267"/>
      <c r="U114" s="267"/>
      <c r="V114" s="267"/>
      <c r="W114" s="267"/>
      <c r="X114" s="267"/>
      <c r="Y114" s="267"/>
      <c r="Z114" s="267"/>
      <c r="AA114" s="267"/>
      <c r="AB114" s="267"/>
      <c r="AC114" s="267"/>
      <c r="AD114" s="267"/>
      <c r="AE114" s="267"/>
      <c r="AF114" s="267"/>
      <c r="AG114" s="267"/>
      <c r="AH114" s="267"/>
      <c r="AI114" s="267"/>
      <c r="AJ114" s="267"/>
    </row>
    <row r="115" spans="2:36" s="30" customFormat="1" ht="16">
      <c r="B115" s="260" t="s">
        <v>82</v>
      </c>
      <c r="C115" s="260"/>
      <c r="D115" s="260"/>
      <c r="E115" s="268" t="s">
        <v>138</v>
      </c>
      <c r="F115" s="269"/>
      <c r="G115" s="260"/>
      <c r="H115" s="260"/>
      <c r="I115" s="260"/>
      <c r="J115" s="260"/>
      <c r="K115" s="260"/>
      <c r="L115" s="260"/>
      <c r="M115" s="260"/>
      <c r="N115" s="260"/>
      <c r="O115" s="260"/>
      <c r="P115" s="260"/>
      <c r="Q115" s="260"/>
      <c r="R115" s="260"/>
      <c r="S115" s="260"/>
      <c r="T115" s="260"/>
      <c r="U115" s="260"/>
      <c r="V115" s="260"/>
      <c r="W115" s="260"/>
      <c r="X115" s="260"/>
      <c r="Y115" s="260"/>
      <c r="Z115" s="260"/>
      <c r="AA115" s="260"/>
      <c r="AB115" s="260"/>
      <c r="AC115" s="260"/>
      <c r="AD115" s="260"/>
      <c r="AE115" s="260"/>
      <c r="AF115" s="260"/>
      <c r="AG115" s="260"/>
      <c r="AH115" s="260"/>
      <c r="AI115" s="260"/>
      <c r="AJ115" s="260"/>
    </row>
    <row r="116" spans="2:36" s="30" customFormat="1" ht="16">
      <c r="B116" s="260" t="s">
        <v>77</v>
      </c>
      <c r="C116" s="260"/>
      <c r="D116" s="260"/>
      <c r="E116" s="270">
        <f>SUM(G116:AJ116)</f>
        <v>10093250</v>
      </c>
      <c r="F116" s="269"/>
      <c r="G116" s="271">
        <f>$E99*G99</f>
        <v>2018650</v>
      </c>
      <c r="H116" s="271">
        <f t="shared" ref="H116:AJ116" si="29">$E99*H99</f>
        <v>3229840</v>
      </c>
      <c r="I116" s="271">
        <f t="shared" si="29"/>
        <v>1937904</v>
      </c>
      <c r="J116" s="271">
        <f t="shared" si="29"/>
        <v>1162742.3999999999</v>
      </c>
      <c r="K116" s="271">
        <f t="shared" si="29"/>
        <v>1162742.3999999999</v>
      </c>
      <c r="L116" s="271">
        <f t="shared" si="29"/>
        <v>581371.19999999995</v>
      </c>
      <c r="M116" s="271">
        <f t="shared" si="29"/>
        <v>0</v>
      </c>
      <c r="N116" s="271">
        <f t="shared" si="29"/>
        <v>0</v>
      </c>
      <c r="O116" s="271">
        <f t="shared" si="29"/>
        <v>0</v>
      </c>
      <c r="P116" s="271">
        <f t="shared" si="29"/>
        <v>0</v>
      </c>
      <c r="Q116" s="271">
        <f t="shared" si="29"/>
        <v>0</v>
      </c>
      <c r="R116" s="271">
        <f t="shared" si="29"/>
        <v>0</v>
      </c>
      <c r="S116" s="271">
        <f t="shared" si="29"/>
        <v>0</v>
      </c>
      <c r="T116" s="271">
        <f t="shared" si="29"/>
        <v>0</v>
      </c>
      <c r="U116" s="271">
        <f t="shared" si="29"/>
        <v>0</v>
      </c>
      <c r="V116" s="271">
        <f t="shared" si="29"/>
        <v>0</v>
      </c>
      <c r="W116" s="271">
        <f t="shared" si="29"/>
        <v>0</v>
      </c>
      <c r="X116" s="271">
        <f t="shared" si="29"/>
        <v>0</v>
      </c>
      <c r="Y116" s="271">
        <f t="shared" si="29"/>
        <v>0</v>
      </c>
      <c r="Z116" s="271">
        <f t="shared" si="29"/>
        <v>0</v>
      </c>
      <c r="AA116" s="271">
        <f t="shared" si="29"/>
        <v>0</v>
      </c>
      <c r="AB116" s="271">
        <f t="shared" si="29"/>
        <v>0</v>
      </c>
      <c r="AC116" s="271">
        <f t="shared" si="29"/>
        <v>0</v>
      </c>
      <c r="AD116" s="271">
        <f t="shared" si="29"/>
        <v>0</v>
      </c>
      <c r="AE116" s="271">
        <f t="shared" si="29"/>
        <v>0</v>
      </c>
      <c r="AF116" s="271">
        <f t="shared" si="29"/>
        <v>0</v>
      </c>
      <c r="AG116" s="271">
        <f t="shared" si="29"/>
        <v>0</v>
      </c>
      <c r="AH116" s="271">
        <f t="shared" si="29"/>
        <v>0</v>
      </c>
      <c r="AI116" s="271">
        <f t="shared" si="29"/>
        <v>0</v>
      </c>
      <c r="AJ116" s="271">
        <f t="shared" si="29"/>
        <v>0</v>
      </c>
    </row>
    <row r="117" spans="2:36" s="30" customFormat="1" ht="16">
      <c r="B117" s="260" t="s">
        <v>129</v>
      </c>
      <c r="C117" s="260"/>
      <c r="D117" s="260"/>
      <c r="E117" s="270">
        <f t="shared" ref="E117:E124" si="30">SUM(G117:AJ117)</f>
        <v>0</v>
      </c>
      <c r="F117" s="269"/>
      <c r="G117" s="271">
        <f t="shared" ref="G117:AJ117" si="31">$E100*G100</f>
        <v>0</v>
      </c>
      <c r="H117" s="271">
        <f t="shared" si="31"/>
        <v>0</v>
      </c>
      <c r="I117" s="271">
        <f t="shared" si="31"/>
        <v>0</v>
      </c>
      <c r="J117" s="271">
        <f t="shared" si="31"/>
        <v>0</v>
      </c>
      <c r="K117" s="271">
        <f t="shared" si="31"/>
        <v>0</v>
      </c>
      <c r="L117" s="271">
        <f t="shared" si="31"/>
        <v>0</v>
      </c>
      <c r="M117" s="271">
        <f t="shared" si="31"/>
        <v>0</v>
      </c>
      <c r="N117" s="271">
        <f t="shared" si="31"/>
        <v>0</v>
      </c>
      <c r="O117" s="271">
        <f t="shared" si="31"/>
        <v>0</v>
      </c>
      <c r="P117" s="271">
        <f t="shared" si="31"/>
        <v>0</v>
      </c>
      <c r="Q117" s="271">
        <f t="shared" si="31"/>
        <v>0</v>
      </c>
      <c r="R117" s="271">
        <f t="shared" si="31"/>
        <v>0</v>
      </c>
      <c r="S117" s="271">
        <f t="shared" si="31"/>
        <v>0</v>
      </c>
      <c r="T117" s="271">
        <f t="shared" si="31"/>
        <v>0</v>
      </c>
      <c r="U117" s="271">
        <f t="shared" si="31"/>
        <v>0</v>
      </c>
      <c r="V117" s="271">
        <f t="shared" si="31"/>
        <v>0</v>
      </c>
      <c r="W117" s="271">
        <f t="shared" si="31"/>
        <v>0</v>
      </c>
      <c r="X117" s="271">
        <f t="shared" si="31"/>
        <v>0</v>
      </c>
      <c r="Y117" s="271">
        <f t="shared" si="31"/>
        <v>0</v>
      </c>
      <c r="Z117" s="271">
        <f t="shared" si="31"/>
        <v>0</v>
      </c>
      <c r="AA117" s="271">
        <f t="shared" si="31"/>
        <v>0</v>
      </c>
      <c r="AB117" s="271">
        <f t="shared" si="31"/>
        <v>0</v>
      </c>
      <c r="AC117" s="271">
        <f t="shared" si="31"/>
        <v>0</v>
      </c>
      <c r="AD117" s="271">
        <f t="shared" si="31"/>
        <v>0</v>
      </c>
      <c r="AE117" s="271">
        <f t="shared" si="31"/>
        <v>0</v>
      </c>
      <c r="AF117" s="271">
        <f t="shared" si="31"/>
        <v>0</v>
      </c>
      <c r="AG117" s="271">
        <f t="shared" si="31"/>
        <v>0</v>
      </c>
      <c r="AH117" s="271">
        <f t="shared" si="31"/>
        <v>0</v>
      </c>
      <c r="AI117" s="271">
        <f t="shared" si="31"/>
        <v>0</v>
      </c>
      <c r="AJ117" s="271">
        <f t="shared" si="31"/>
        <v>0</v>
      </c>
    </row>
    <row r="118" spans="2:36" s="30" customFormat="1" ht="16">
      <c r="B118" s="260" t="s">
        <v>78</v>
      </c>
      <c r="C118" s="260"/>
      <c r="D118" s="260"/>
      <c r="E118" s="270">
        <f t="shared" si="30"/>
        <v>161062.5</v>
      </c>
      <c r="F118" s="269"/>
      <c r="G118" s="271">
        <f t="shared" ref="G118:AJ118" si="32">$E101*G101</f>
        <v>8053.125</v>
      </c>
      <c r="H118" s="271">
        <f t="shared" si="32"/>
        <v>15300.9375</v>
      </c>
      <c r="I118" s="271">
        <f t="shared" si="32"/>
        <v>13770.843750000002</v>
      </c>
      <c r="J118" s="271">
        <f t="shared" si="32"/>
        <v>12401.8125</v>
      </c>
      <c r="K118" s="271">
        <f t="shared" si="32"/>
        <v>11161.63125</v>
      </c>
      <c r="L118" s="271">
        <f t="shared" si="32"/>
        <v>10034.19375</v>
      </c>
      <c r="M118" s="271">
        <f t="shared" si="32"/>
        <v>9502.6875</v>
      </c>
      <c r="N118" s="271">
        <f t="shared" si="32"/>
        <v>9502.6875</v>
      </c>
      <c r="O118" s="271">
        <f t="shared" si="32"/>
        <v>9518.7937500000007</v>
      </c>
      <c r="P118" s="271">
        <f t="shared" si="32"/>
        <v>9502.6875</v>
      </c>
      <c r="Q118" s="271">
        <f t="shared" si="32"/>
        <v>9518.7937500000007</v>
      </c>
      <c r="R118" s="271">
        <f t="shared" si="32"/>
        <v>9502.6875</v>
      </c>
      <c r="S118" s="271">
        <f t="shared" si="32"/>
        <v>9518.7937500000007</v>
      </c>
      <c r="T118" s="271">
        <f t="shared" si="32"/>
        <v>9502.6875</v>
      </c>
      <c r="U118" s="271">
        <f t="shared" si="32"/>
        <v>9518.7937500000007</v>
      </c>
      <c r="V118" s="271">
        <f t="shared" si="32"/>
        <v>4751.34375</v>
      </c>
      <c r="W118" s="271">
        <f t="shared" si="32"/>
        <v>0</v>
      </c>
      <c r="X118" s="271">
        <f t="shared" si="32"/>
        <v>0</v>
      </c>
      <c r="Y118" s="271">
        <f t="shared" si="32"/>
        <v>0</v>
      </c>
      <c r="Z118" s="271">
        <f t="shared" si="32"/>
        <v>0</v>
      </c>
      <c r="AA118" s="271">
        <f t="shared" si="32"/>
        <v>0</v>
      </c>
      <c r="AB118" s="271">
        <f t="shared" si="32"/>
        <v>0</v>
      </c>
      <c r="AC118" s="271">
        <f t="shared" si="32"/>
        <v>0</v>
      </c>
      <c r="AD118" s="271">
        <f t="shared" si="32"/>
        <v>0</v>
      </c>
      <c r="AE118" s="271">
        <f t="shared" si="32"/>
        <v>0</v>
      </c>
      <c r="AF118" s="271">
        <f t="shared" si="32"/>
        <v>0</v>
      </c>
      <c r="AG118" s="271">
        <f t="shared" si="32"/>
        <v>0</v>
      </c>
      <c r="AH118" s="271">
        <f t="shared" si="32"/>
        <v>0</v>
      </c>
      <c r="AI118" s="271">
        <f t="shared" si="32"/>
        <v>0</v>
      </c>
      <c r="AJ118" s="271">
        <f t="shared" si="32"/>
        <v>0</v>
      </c>
    </row>
    <row r="119" spans="2:36" s="30" customFormat="1" ht="16">
      <c r="B119" s="260" t="s">
        <v>79</v>
      </c>
      <c r="C119" s="260"/>
      <c r="D119" s="260"/>
      <c r="E119" s="270">
        <f t="shared" si="30"/>
        <v>107374.99999999999</v>
      </c>
      <c r="F119" s="269"/>
      <c r="G119" s="271">
        <f t="shared" ref="G119:AJ119" si="33">$E102*G102</f>
        <v>4026.5625</v>
      </c>
      <c r="H119" s="271">
        <f t="shared" si="33"/>
        <v>7751.4012500000008</v>
      </c>
      <c r="I119" s="271">
        <f t="shared" si="33"/>
        <v>7169.4287499999991</v>
      </c>
      <c r="J119" s="271">
        <f t="shared" si="33"/>
        <v>6632.55375</v>
      </c>
      <c r="K119" s="271">
        <f t="shared" si="33"/>
        <v>6134.3337499999998</v>
      </c>
      <c r="L119" s="271">
        <f t="shared" si="33"/>
        <v>5674.7687500000002</v>
      </c>
      <c r="M119" s="271">
        <f t="shared" si="33"/>
        <v>5248.49</v>
      </c>
      <c r="N119" s="271">
        <f t="shared" si="33"/>
        <v>4855.4975000000004</v>
      </c>
      <c r="O119" s="271">
        <f t="shared" si="33"/>
        <v>4791.0725000000002</v>
      </c>
      <c r="P119" s="271">
        <f t="shared" si="33"/>
        <v>4789.9987499999997</v>
      </c>
      <c r="Q119" s="271">
        <f t="shared" si="33"/>
        <v>4791.0725000000002</v>
      </c>
      <c r="R119" s="271">
        <f t="shared" si="33"/>
        <v>4789.9987499999997</v>
      </c>
      <c r="S119" s="271">
        <f t="shared" si="33"/>
        <v>4791.0725000000002</v>
      </c>
      <c r="T119" s="271">
        <f t="shared" si="33"/>
        <v>4789.9987499999997</v>
      </c>
      <c r="U119" s="271">
        <f t="shared" si="33"/>
        <v>4791.0725000000002</v>
      </c>
      <c r="V119" s="271">
        <f t="shared" si="33"/>
        <v>4789.9987499999997</v>
      </c>
      <c r="W119" s="271">
        <f t="shared" si="33"/>
        <v>4791.0725000000002</v>
      </c>
      <c r="X119" s="271">
        <f t="shared" si="33"/>
        <v>4789.9987499999997</v>
      </c>
      <c r="Y119" s="271">
        <f t="shared" si="33"/>
        <v>4791.0725000000002</v>
      </c>
      <c r="Z119" s="271">
        <f t="shared" si="33"/>
        <v>4789.9987499999997</v>
      </c>
      <c r="AA119" s="271">
        <f t="shared" si="33"/>
        <v>2395.5362500000001</v>
      </c>
      <c r="AB119" s="271">
        <f t="shared" si="33"/>
        <v>0</v>
      </c>
      <c r="AC119" s="271">
        <f t="shared" si="33"/>
        <v>0</v>
      </c>
      <c r="AD119" s="271">
        <f t="shared" si="33"/>
        <v>0</v>
      </c>
      <c r="AE119" s="271">
        <f t="shared" si="33"/>
        <v>0</v>
      </c>
      <c r="AF119" s="271">
        <f t="shared" si="33"/>
        <v>0</v>
      </c>
      <c r="AG119" s="271">
        <f t="shared" si="33"/>
        <v>0</v>
      </c>
      <c r="AH119" s="271">
        <f t="shared" si="33"/>
        <v>0</v>
      </c>
      <c r="AI119" s="271">
        <f t="shared" si="33"/>
        <v>0</v>
      </c>
      <c r="AJ119" s="271">
        <f t="shared" si="33"/>
        <v>0</v>
      </c>
    </row>
    <row r="120" spans="2:36" s="30" customFormat="1" ht="16">
      <c r="B120" s="260" t="s">
        <v>130</v>
      </c>
      <c r="C120" s="260"/>
      <c r="D120" s="260"/>
      <c r="E120" s="270">
        <f t="shared" si="30"/>
        <v>0</v>
      </c>
      <c r="F120" s="269"/>
      <c r="G120" s="271">
        <f t="shared" ref="G120:AJ120" si="34">$E103*G103</f>
        <v>0</v>
      </c>
      <c r="H120" s="271">
        <f t="shared" si="34"/>
        <v>0</v>
      </c>
      <c r="I120" s="271">
        <f t="shared" si="34"/>
        <v>0</v>
      </c>
      <c r="J120" s="271">
        <f t="shared" si="34"/>
        <v>0</v>
      </c>
      <c r="K120" s="271">
        <f t="shared" si="34"/>
        <v>0</v>
      </c>
      <c r="L120" s="271">
        <f t="shared" si="34"/>
        <v>0</v>
      </c>
      <c r="M120" s="271">
        <f t="shared" si="34"/>
        <v>0</v>
      </c>
      <c r="N120" s="271">
        <f t="shared" si="34"/>
        <v>0</v>
      </c>
      <c r="O120" s="271">
        <f t="shared" si="34"/>
        <v>0</v>
      </c>
      <c r="P120" s="271">
        <f t="shared" si="34"/>
        <v>0</v>
      </c>
      <c r="Q120" s="271">
        <f t="shared" si="34"/>
        <v>0</v>
      </c>
      <c r="R120" s="271">
        <f t="shared" si="34"/>
        <v>0</v>
      </c>
      <c r="S120" s="271">
        <f t="shared" si="34"/>
        <v>0</v>
      </c>
      <c r="T120" s="271">
        <f t="shared" si="34"/>
        <v>0</v>
      </c>
      <c r="U120" s="271">
        <f t="shared" si="34"/>
        <v>0</v>
      </c>
      <c r="V120" s="271">
        <f t="shared" si="34"/>
        <v>0</v>
      </c>
      <c r="W120" s="271">
        <f t="shared" si="34"/>
        <v>0</v>
      </c>
      <c r="X120" s="271">
        <f t="shared" si="34"/>
        <v>0</v>
      </c>
      <c r="Y120" s="271">
        <f t="shared" si="34"/>
        <v>0</v>
      </c>
      <c r="Z120" s="271">
        <f t="shared" si="34"/>
        <v>0</v>
      </c>
      <c r="AA120" s="271">
        <f t="shared" si="34"/>
        <v>0</v>
      </c>
      <c r="AB120" s="271">
        <f t="shared" si="34"/>
        <v>0</v>
      </c>
      <c r="AC120" s="271">
        <f t="shared" si="34"/>
        <v>0</v>
      </c>
      <c r="AD120" s="271">
        <f t="shared" si="34"/>
        <v>0</v>
      </c>
      <c r="AE120" s="271">
        <f t="shared" si="34"/>
        <v>0</v>
      </c>
      <c r="AF120" s="271">
        <f t="shared" si="34"/>
        <v>0</v>
      </c>
      <c r="AG120" s="271">
        <f t="shared" si="34"/>
        <v>0</v>
      </c>
      <c r="AH120" s="271">
        <f t="shared" si="34"/>
        <v>0</v>
      </c>
      <c r="AI120" s="271">
        <f t="shared" si="34"/>
        <v>0</v>
      </c>
      <c r="AJ120" s="271">
        <f t="shared" si="34"/>
        <v>0</v>
      </c>
    </row>
    <row r="121" spans="2:36" s="30" customFormat="1" ht="16">
      <c r="B121" s="260" t="s">
        <v>131</v>
      </c>
      <c r="C121" s="260"/>
      <c r="D121" s="260"/>
      <c r="E121" s="270">
        <f t="shared" si="30"/>
        <v>0</v>
      </c>
      <c r="F121" s="269"/>
      <c r="G121" s="271">
        <f t="shared" ref="G121:AJ121" si="35">$E104*G104</f>
        <v>0</v>
      </c>
      <c r="H121" s="271">
        <f t="shared" si="35"/>
        <v>0</v>
      </c>
      <c r="I121" s="271">
        <f t="shared" si="35"/>
        <v>0</v>
      </c>
      <c r="J121" s="271">
        <f t="shared" si="35"/>
        <v>0</v>
      </c>
      <c r="K121" s="271">
        <f t="shared" si="35"/>
        <v>0</v>
      </c>
      <c r="L121" s="271">
        <f t="shared" si="35"/>
        <v>0</v>
      </c>
      <c r="M121" s="271">
        <f t="shared" si="35"/>
        <v>0</v>
      </c>
      <c r="N121" s="271">
        <f t="shared" si="35"/>
        <v>0</v>
      </c>
      <c r="O121" s="271">
        <f t="shared" si="35"/>
        <v>0</v>
      </c>
      <c r="P121" s="271">
        <f t="shared" si="35"/>
        <v>0</v>
      </c>
      <c r="Q121" s="271">
        <f t="shared" si="35"/>
        <v>0</v>
      </c>
      <c r="R121" s="271">
        <f t="shared" si="35"/>
        <v>0</v>
      </c>
      <c r="S121" s="271">
        <f t="shared" si="35"/>
        <v>0</v>
      </c>
      <c r="T121" s="271">
        <f t="shared" si="35"/>
        <v>0</v>
      </c>
      <c r="U121" s="271">
        <f t="shared" si="35"/>
        <v>0</v>
      </c>
      <c r="V121" s="271">
        <f t="shared" si="35"/>
        <v>0</v>
      </c>
      <c r="W121" s="271">
        <f t="shared" si="35"/>
        <v>0</v>
      </c>
      <c r="X121" s="271">
        <f t="shared" si="35"/>
        <v>0</v>
      </c>
      <c r="Y121" s="271">
        <f t="shared" si="35"/>
        <v>0</v>
      </c>
      <c r="Z121" s="271">
        <f t="shared" si="35"/>
        <v>0</v>
      </c>
      <c r="AA121" s="271">
        <f t="shared" si="35"/>
        <v>0</v>
      </c>
      <c r="AB121" s="271">
        <f t="shared" si="35"/>
        <v>0</v>
      </c>
      <c r="AC121" s="271">
        <f t="shared" si="35"/>
        <v>0</v>
      </c>
      <c r="AD121" s="271">
        <f t="shared" si="35"/>
        <v>0</v>
      </c>
      <c r="AE121" s="271">
        <f t="shared" si="35"/>
        <v>0</v>
      </c>
      <c r="AF121" s="271">
        <f t="shared" si="35"/>
        <v>0</v>
      </c>
      <c r="AG121" s="271">
        <f t="shared" si="35"/>
        <v>0</v>
      </c>
      <c r="AH121" s="271">
        <f t="shared" si="35"/>
        <v>0</v>
      </c>
      <c r="AI121" s="271">
        <f t="shared" si="35"/>
        <v>0</v>
      </c>
      <c r="AJ121" s="271">
        <f t="shared" si="35"/>
        <v>0</v>
      </c>
    </row>
    <row r="122" spans="2:36" s="30" customFormat="1" ht="16">
      <c r="B122" s="260" t="s">
        <v>80</v>
      </c>
      <c r="C122" s="260"/>
      <c r="D122" s="260"/>
      <c r="E122" s="270">
        <f t="shared" si="30"/>
        <v>107375</v>
      </c>
      <c r="F122" s="269"/>
      <c r="G122" s="271">
        <f t="shared" ref="G122:AJ122" si="36">$E105*G105</f>
        <v>2684.375</v>
      </c>
      <c r="H122" s="271">
        <f t="shared" si="36"/>
        <v>5368.75</v>
      </c>
      <c r="I122" s="271">
        <f t="shared" si="36"/>
        <v>5368.75</v>
      </c>
      <c r="J122" s="271">
        <f t="shared" si="36"/>
        <v>5368.75</v>
      </c>
      <c r="K122" s="271">
        <f t="shared" si="36"/>
        <v>5368.75</v>
      </c>
      <c r="L122" s="271">
        <f t="shared" si="36"/>
        <v>5368.75</v>
      </c>
      <c r="M122" s="271">
        <f t="shared" si="36"/>
        <v>5368.75</v>
      </c>
      <c r="N122" s="271">
        <f t="shared" si="36"/>
        <v>5368.75</v>
      </c>
      <c r="O122" s="271">
        <f t="shared" si="36"/>
        <v>5368.75</v>
      </c>
      <c r="P122" s="271">
        <f t="shared" si="36"/>
        <v>5368.75</v>
      </c>
      <c r="Q122" s="271">
        <f t="shared" si="36"/>
        <v>5368.75</v>
      </c>
      <c r="R122" s="271">
        <f t="shared" si="36"/>
        <v>5368.75</v>
      </c>
      <c r="S122" s="271">
        <f t="shared" si="36"/>
        <v>5368.75</v>
      </c>
      <c r="T122" s="271">
        <f t="shared" si="36"/>
        <v>5368.75</v>
      </c>
      <c r="U122" s="271">
        <f t="shared" si="36"/>
        <v>5368.75</v>
      </c>
      <c r="V122" s="271">
        <f t="shared" si="36"/>
        <v>5368.75</v>
      </c>
      <c r="W122" s="271">
        <f t="shared" si="36"/>
        <v>5368.75</v>
      </c>
      <c r="X122" s="271">
        <f t="shared" si="36"/>
        <v>5368.75</v>
      </c>
      <c r="Y122" s="271">
        <f t="shared" si="36"/>
        <v>5368.75</v>
      </c>
      <c r="Z122" s="271">
        <f t="shared" si="36"/>
        <v>5368.75</v>
      </c>
      <c r="AA122" s="271">
        <f t="shared" si="36"/>
        <v>2684.375</v>
      </c>
      <c r="AB122" s="271">
        <f t="shared" si="36"/>
        <v>0</v>
      </c>
      <c r="AC122" s="271">
        <f t="shared" si="36"/>
        <v>0</v>
      </c>
      <c r="AD122" s="271">
        <f t="shared" si="36"/>
        <v>0</v>
      </c>
      <c r="AE122" s="271">
        <f t="shared" si="36"/>
        <v>0</v>
      </c>
      <c r="AF122" s="271">
        <f t="shared" si="36"/>
        <v>0</v>
      </c>
      <c r="AG122" s="271">
        <f t="shared" si="36"/>
        <v>0</v>
      </c>
      <c r="AH122" s="271">
        <f t="shared" si="36"/>
        <v>0</v>
      </c>
      <c r="AI122" s="271">
        <f t="shared" si="36"/>
        <v>0</v>
      </c>
      <c r="AJ122" s="271">
        <f t="shared" si="36"/>
        <v>0</v>
      </c>
    </row>
    <row r="123" spans="2:36" s="30" customFormat="1" ht="16">
      <c r="B123" s="260" t="s">
        <v>81</v>
      </c>
      <c r="C123" s="260"/>
      <c r="D123" s="260"/>
      <c r="E123" s="270">
        <f t="shared" si="30"/>
        <v>0</v>
      </c>
      <c r="F123" s="270"/>
      <c r="G123" s="271">
        <f t="shared" ref="G123:AJ123" si="37">$E106*G106</f>
        <v>0</v>
      </c>
      <c r="H123" s="271">
        <f t="shared" si="37"/>
        <v>0</v>
      </c>
      <c r="I123" s="271">
        <f t="shared" si="37"/>
        <v>0</v>
      </c>
      <c r="J123" s="271">
        <f t="shared" si="37"/>
        <v>0</v>
      </c>
      <c r="K123" s="271">
        <f t="shared" si="37"/>
        <v>0</v>
      </c>
      <c r="L123" s="271">
        <f t="shared" si="37"/>
        <v>0</v>
      </c>
      <c r="M123" s="271">
        <f t="shared" si="37"/>
        <v>0</v>
      </c>
      <c r="N123" s="271">
        <f t="shared" si="37"/>
        <v>0</v>
      </c>
      <c r="O123" s="271">
        <f t="shared" si="37"/>
        <v>0</v>
      </c>
      <c r="P123" s="271">
        <f t="shared" si="37"/>
        <v>0</v>
      </c>
      <c r="Q123" s="271">
        <f t="shared" si="37"/>
        <v>0</v>
      </c>
      <c r="R123" s="271">
        <f t="shared" si="37"/>
        <v>0</v>
      </c>
      <c r="S123" s="271">
        <f t="shared" si="37"/>
        <v>0</v>
      </c>
      <c r="T123" s="271">
        <f t="shared" si="37"/>
        <v>0</v>
      </c>
      <c r="U123" s="271">
        <f t="shared" si="37"/>
        <v>0</v>
      </c>
      <c r="V123" s="271">
        <f t="shared" si="37"/>
        <v>0</v>
      </c>
      <c r="W123" s="271">
        <f t="shared" si="37"/>
        <v>0</v>
      </c>
      <c r="X123" s="271">
        <f t="shared" si="37"/>
        <v>0</v>
      </c>
      <c r="Y123" s="271">
        <f t="shared" si="37"/>
        <v>0</v>
      </c>
      <c r="Z123" s="271">
        <f t="shared" si="37"/>
        <v>0</v>
      </c>
      <c r="AA123" s="271">
        <f t="shared" si="37"/>
        <v>0</v>
      </c>
      <c r="AB123" s="271">
        <f t="shared" si="37"/>
        <v>0</v>
      </c>
      <c r="AC123" s="271">
        <f t="shared" si="37"/>
        <v>0</v>
      </c>
      <c r="AD123" s="271">
        <f t="shared" si="37"/>
        <v>0</v>
      </c>
      <c r="AE123" s="271">
        <f t="shared" si="37"/>
        <v>0</v>
      </c>
      <c r="AF123" s="271">
        <f t="shared" si="37"/>
        <v>0</v>
      </c>
      <c r="AG123" s="271">
        <f t="shared" si="37"/>
        <v>0</v>
      </c>
      <c r="AH123" s="271">
        <f t="shared" si="37"/>
        <v>0</v>
      </c>
      <c r="AI123" s="271">
        <f t="shared" si="37"/>
        <v>0</v>
      </c>
      <c r="AJ123" s="271">
        <f t="shared" si="37"/>
        <v>0</v>
      </c>
    </row>
    <row r="124" spans="2:36" s="30" customFormat="1" ht="16">
      <c r="B124" s="260" t="s">
        <v>363</v>
      </c>
      <c r="C124" s="260"/>
      <c r="D124" s="260"/>
      <c r="E124" s="270">
        <f t="shared" si="30"/>
        <v>10737500</v>
      </c>
      <c r="F124" s="270"/>
      <c r="G124" s="271">
        <f t="shared" ref="G124:AJ124" si="38">$E107*G107</f>
        <v>10737500</v>
      </c>
      <c r="H124" s="271">
        <f t="shared" si="38"/>
        <v>0</v>
      </c>
      <c r="I124" s="271">
        <f t="shared" si="38"/>
        <v>0</v>
      </c>
      <c r="J124" s="271">
        <f t="shared" si="38"/>
        <v>0</v>
      </c>
      <c r="K124" s="271">
        <f t="shared" si="38"/>
        <v>0</v>
      </c>
      <c r="L124" s="271">
        <f t="shared" si="38"/>
        <v>0</v>
      </c>
      <c r="M124" s="271">
        <f t="shared" si="38"/>
        <v>0</v>
      </c>
      <c r="N124" s="271">
        <f t="shared" si="38"/>
        <v>0</v>
      </c>
      <c r="O124" s="271">
        <f t="shared" si="38"/>
        <v>0</v>
      </c>
      <c r="P124" s="271">
        <f t="shared" si="38"/>
        <v>0</v>
      </c>
      <c r="Q124" s="271">
        <f t="shared" si="38"/>
        <v>0</v>
      </c>
      <c r="R124" s="271">
        <f t="shared" si="38"/>
        <v>0</v>
      </c>
      <c r="S124" s="271">
        <f t="shared" si="38"/>
        <v>0</v>
      </c>
      <c r="T124" s="271">
        <f t="shared" si="38"/>
        <v>0</v>
      </c>
      <c r="U124" s="271">
        <f t="shared" si="38"/>
        <v>0</v>
      </c>
      <c r="V124" s="271">
        <f t="shared" si="38"/>
        <v>0</v>
      </c>
      <c r="W124" s="271">
        <f t="shared" si="38"/>
        <v>0</v>
      </c>
      <c r="X124" s="271">
        <f t="shared" si="38"/>
        <v>0</v>
      </c>
      <c r="Y124" s="271">
        <f t="shared" si="38"/>
        <v>0</v>
      </c>
      <c r="Z124" s="271">
        <f t="shared" si="38"/>
        <v>0</v>
      </c>
      <c r="AA124" s="271">
        <f t="shared" si="38"/>
        <v>0</v>
      </c>
      <c r="AB124" s="271">
        <f t="shared" si="38"/>
        <v>0</v>
      </c>
      <c r="AC124" s="271">
        <f t="shared" si="38"/>
        <v>0</v>
      </c>
      <c r="AD124" s="271">
        <f t="shared" si="38"/>
        <v>0</v>
      </c>
      <c r="AE124" s="271">
        <f t="shared" si="38"/>
        <v>0</v>
      </c>
      <c r="AF124" s="271">
        <f t="shared" si="38"/>
        <v>0</v>
      </c>
      <c r="AG124" s="271">
        <f t="shared" si="38"/>
        <v>0</v>
      </c>
      <c r="AH124" s="271">
        <f t="shared" si="38"/>
        <v>0</v>
      </c>
      <c r="AI124" s="271">
        <f t="shared" si="38"/>
        <v>0</v>
      </c>
      <c r="AJ124" s="271">
        <f t="shared" si="38"/>
        <v>0</v>
      </c>
    </row>
    <row r="125" spans="2:36" s="30" customFormat="1" ht="16">
      <c r="B125" s="273" t="s">
        <v>24</v>
      </c>
      <c r="C125" s="273"/>
      <c r="D125" s="273"/>
      <c r="E125" s="274">
        <f>E108</f>
        <v>268437.5</v>
      </c>
      <c r="F125" s="270"/>
      <c r="G125" s="272"/>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row>
    <row r="126" spans="2:36" s="30" customFormat="1" ht="16">
      <c r="B126" s="275" t="s">
        <v>83</v>
      </c>
      <c r="C126" s="275"/>
      <c r="D126" s="275"/>
      <c r="E126" s="270">
        <f>SUM(E116:E125)</f>
        <v>21475000</v>
      </c>
      <c r="F126" s="276" t="str">
        <f>IF(ROUND(E126,0)=ROUND(E110,0),"OK","error")</f>
        <v>OK</v>
      </c>
      <c r="G126" s="272"/>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row>
    <row r="127" spans="2:36" s="30" customFormat="1" ht="16">
      <c r="B127" s="275"/>
      <c r="C127" s="275"/>
      <c r="D127" s="275"/>
      <c r="E127" s="270"/>
      <c r="F127" s="276"/>
      <c r="G127" s="272"/>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row>
    <row r="128" spans="2:36" s="30" customFormat="1" ht="16">
      <c r="B128" s="262" t="s">
        <v>154</v>
      </c>
      <c r="C128" s="262"/>
      <c r="D128" s="262"/>
      <c r="E128" s="270"/>
      <c r="F128" s="276"/>
      <c r="G128" s="272"/>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row>
    <row r="129" spans="2:36" s="30" customFormat="1" ht="16">
      <c r="B129" s="260" t="s">
        <v>155</v>
      </c>
      <c r="C129" s="260"/>
      <c r="D129" s="260"/>
      <c r="E129" s="270">
        <f>Inputs!$Q$50*Inputs!$G$7</f>
        <v>0</v>
      </c>
      <c r="F129" s="276"/>
      <c r="G129" s="272">
        <f>IF(G$2=Inputs!$Q$49,'Cash Flow'!$E$129,0)</f>
        <v>0</v>
      </c>
      <c r="H129" s="272">
        <f>IF(H$2=Inputs!$Q$49,'Cash Flow'!$E$129,0)</f>
        <v>0</v>
      </c>
      <c r="I129" s="272">
        <f>IF(I$2=Inputs!$Q$49,'Cash Flow'!$E$129,0)</f>
        <v>0</v>
      </c>
      <c r="J129" s="272">
        <f>IF(J$2=Inputs!$Q$49,'Cash Flow'!$E$129,0)</f>
        <v>0</v>
      </c>
      <c r="K129" s="272">
        <f>IF(K$2=Inputs!$Q$49,'Cash Flow'!$E$129,0)</f>
        <v>0</v>
      </c>
      <c r="L129" s="272">
        <f>IF(L$2=Inputs!$Q$49,'Cash Flow'!$E$129,0)</f>
        <v>0</v>
      </c>
      <c r="M129" s="272">
        <f>IF(M$2=Inputs!$Q$49,'Cash Flow'!$E$129,0)</f>
        <v>0</v>
      </c>
      <c r="N129" s="272">
        <f>IF(N$2=Inputs!$Q$49,'Cash Flow'!$E$129,0)</f>
        <v>0</v>
      </c>
      <c r="O129" s="272">
        <f>IF(O$2=Inputs!$Q$49,'Cash Flow'!$E$129,0)</f>
        <v>0</v>
      </c>
      <c r="P129" s="272">
        <f>IF(P$2=Inputs!$Q$49,'Cash Flow'!$E$129,0)</f>
        <v>0</v>
      </c>
      <c r="Q129" s="272">
        <f>IF(Q$2=Inputs!$Q$49,'Cash Flow'!$E$129,0)</f>
        <v>0</v>
      </c>
      <c r="R129" s="272">
        <f>IF(R$2=Inputs!$Q$49,'Cash Flow'!$E$129,0)</f>
        <v>0</v>
      </c>
      <c r="S129" s="272">
        <f>IF(S$2=Inputs!$Q$49,'Cash Flow'!$E$129,0)</f>
        <v>0</v>
      </c>
      <c r="T129" s="272">
        <f>IF(T$2=Inputs!$Q$49,'Cash Flow'!$E$129,0)</f>
        <v>0</v>
      </c>
      <c r="U129" s="272">
        <f>IF(U$2=Inputs!$Q$49,'Cash Flow'!$E$129,0)</f>
        <v>0</v>
      </c>
      <c r="V129" s="272">
        <f>IF(V$2=Inputs!$Q$49,'Cash Flow'!$E$129,0)</f>
        <v>0</v>
      </c>
      <c r="W129" s="272">
        <f>IF(W$2=Inputs!$Q$49,'Cash Flow'!$E$129,0)</f>
        <v>0</v>
      </c>
      <c r="X129" s="272">
        <f>IF(X$2=Inputs!$Q$49,'Cash Flow'!$E$129,0)</f>
        <v>0</v>
      </c>
      <c r="Y129" s="272">
        <f>IF(Y$2=Inputs!$Q$49,'Cash Flow'!$E$129,0)</f>
        <v>0</v>
      </c>
      <c r="Z129" s="272">
        <f>IF(Z$2=Inputs!$Q$49,'Cash Flow'!$E$129,0)</f>
        <v>0</v>
      </c>
      <c r="AA129" s="272">
        <f>IF(AA$2=Inputs!$Q$49,'Cash Flow'!$E$129,0)</f>
        <v>0</v>
      </c>
      <c r="AB129" s="272">
        <f>IF(AB$2=Inputs!$Q$49,'Cash Flow'!$E$129,0)</f>
        <v>0</v>
      </c>
      <c r="AC129" s="272">
        <f>IF(AC$2=Inputs!$Q$49,'Cash Flow'!$E$129,0)</f>
        <v>0</v>
      </c>
      <c r="AD129" s="272">
        <f>IF(AD$2=Inputs!$Q$49,'Cash Flow'!$E$129,0)</f>
        <v>0</v>
      </c>
      <c r="AE129" s="272">
        <f>IF(AE$2=Inputs!$Q$49,'Cash Flow'!$E$129,0)</f>
        <v>0</v>
      </c>
      <c r="AF129" s="272">
        <f>IF(AF$2=Inputs!$Q$49,'Cash Flow'!$E$129,0)</f>
        <v>0</v>
      </c>
      <c r="AG129" s="272">
        <f>IF(AG$2=Inputs!$Q$49,'Cash Flow'!$E$129,0)</f>
        <v>0</v>
      </c>
      <c r="AH129" s="272">
        <f>IF(AH$2=Inputs!$Q$49,'Cash Flow'!$E$129,0)</f>
        <v>0</v>
      </c>
      <c r="AI129" s="272">
        <f>IF(AI$2=Inputs!$Q$49,'Cash Flow'!$E$129,0)</f>
        <v>0</v>
      </c>
      <c r="AJ129" s="272">
        <f>IF(AJ$2=Inputs!$Q$49,'Cash Flow'!$E$129,0)</f>
        <v>0</v>
      </c>
    </row>
    <row r="130" spans="2:36" s="30" customFormat="1" ht="16">
      <c r="B130" s="260" t="s">
        <v>157</v>
      </c>
      <c r="C130" s="260"/>
      <c r="D130" s="260"/>
      <c r="E130" s="270"/>
      <c r="F130" s="276"/>
      <c r="G130" s="277">
        <f>IF(G129&gt;0,1,IF(F130&gt;0,F130+1,0))</f>
        <v>0</v>
      </c>
      <c r="H130" s="277">
        <f t="shared" ref="H130:AJ130" si="39">IF(H129&gt;0,1,IF(G130&gt;0,G130+1,0))</f>
        <v>0</v>
      </c>
      <c r="I130" s="277">
        <f t="shared" si="39"/>
        <v>0</v>
      </c>
      <c r="J130" s="277">
        <f t="shared" si="39"/>
        <v>0</v>
      </c>
      <c r="K130" s="277">
        <f t="shared" si="39"/>
        <v>0</v>
      </c>
      <c r="L130" s="277">
        <f t="shared" si="39"/>
        <v>0</v>
      </c>
      <c r="M130" s="277">
        <f t="shared" si="39"/>
        <v>0</v>
      </c>
      <c r="N130" s="277">
        <f t="shared" si="39"/>
        <v>0</v>
      </c>
      <c r="O130" s="277">
        <f t="shared" si="39"/>
        <v>0</v>
      </c>
      <c r="P130" s="277">
        <f t="shared" si="39"/>
        <v>0</v>
      </c>
      <c r="Q130" s="277">
        <f t="shared" si="39"/>
        <v>0</v>
      </c>
      <c r="R130" s="277">
        <f t="shared" si="39"/>
        <v>0</v>
      </c>
      <c r="S130" s="277">
        <f t="shared" si="39"/>
        <v>0</v>
      </c>
      <c r="T130" s="277">
        <f t="shared" si="39"/>
        <v>0</v>
      </c>
      <c r="U130" s="277">
        <f t="shared" si="39"/>
        <v>0</v>
      </c>
      <c r="V130" s="277">
        <f t="shared" si="39"/>
        <v>0</v>
      </c>
      <c r="W130" s="277">
        <f t="shared" si="39"/>
        <v>0</v>
      </c>
      <c r="X130" s="277">
        <f t="shared" si="39"/>
        <v>0</v>
      </c>
      <c r="Y130" s="277">
        <f t="shared" si="39"/>
        <v>0</v>
      </c>
      <c r="Z130" s="277">
        <f t="shared" si="39"/>
        <v>0</v>
      </c>
      <c r="AA130" s="277">
        <f t="shared" si="39"/>
        <v>0</v>
      </c>
      <c r="AB130" s="277">
        <f t="shared" si="39"/>
        <v>0</v>
      </c>
      <c r="AC130" s="277">
        <f t="shared" si="39"/>
        <v>0</v>
      </c>
      <c r="AD130" s="277">
        <f t="shared" si="39"/>
        <v>0</v>
      </c>
      <c r="AE130" s="277">
        <f t="shared" si="39"/>
        <v>0</v>
      </c>
      <c r="AF130" s="277">
        <f t="shared" si="39"/>
        <v>0</v>
      </c>
      <c r="AG130" s="277">
        <f t="shared" si="39"/>
        <v>0</v>
      </c>
      <c r="AH130" s="277">
        <f t="shared" si="39"/>
        <v>0</v>
      </c>
      <c r="AI130" s="277">
        <f t="shared" si="39"/>
        <v>0</v>
      </c>
      <c r="AJ130" s="277">
        <f t="shared" si="39"/>
        <v>0</v>
      </c>
    </row>
    <row r="131" spans="2:36" s="30" customFormat="1" ht="16">
      <c r="B131" s="273" t="s">
        <v>158</v>
      </c>
      <c r="C131" s="273"/>
      <c r="D131" s="273"/>
      <c r="E131" s="274"/>
      <c r="F131" s="276"/>
      <c r="G131" s="272">
        <f t="shared" ref="G131:AJ131" si="40">IF(G130=0,0,$E$129*LOOKUP(G130,$G$97:$AJ$97,$G$99:$AJ$99))</f>
        <v>0</v>
      </c>
      <c r="H131" s="272">
        <f t="shared" si="40"/>
        <v>0</v>
      </c>
      <c r="I131" s="272">
        <f t="shared" si="40"/>
        <v>0</v>
      </c>
      <c r="J131" s="272">
        <f t="shared" si="40"/>
        <v>0</v>
      </c>
      <c r="K131" s="272">
        <f t="shared" si="40"/>
        <v>0</v>
      </c>
      <c r="L131" s="272">
        <f t="shared" si="40"/>
        <v>0</v>
      </c>
      <c r="M131" s="272">
        <f t="shared" si="40"/>
        <v>0</v>
      </c>
      <c r="N131" s="272">
        <f t="shared" si="40"/>
        <v>0</v>
      </c>
      <c r="O131" s="272">
        <f t="shared" si="40"/>
        <v>0</v>
      </c>
      <c r="P131" s="272">
        <f t="shared" si="40"/>
        <v>0</v>
      </c>
      <c r="Q131" s="272">
        <f t="shared" si="40"/>
        <v>0</v>
      </c>
      <c r="R131" s="272">
        <f t="shared" si="40"/>
        <v>0</v>
      </c>
      <c r="S131" s="272">
        <f t="shared" si="40"/>
        <v>0</v>
      </c>
      <c r="T131" s="272">
        <f t="shared" si="40"/>
        <v>0</v>
      </c>
      <c r="U131" s="272">
        <f t="shared" si="40"/>
        <v>0</v>
      </c>
      <c r="V131" s="272">
        <f t="shared" si="40"/>
        <v>0</v>
      </c>
      <c r="W131" s="272">
        <f t="shared" si="40"/>
        <v>0</v>
      </c>
      <c r="X131" s="272">
        <f t="shared" si="40"/>
        <v>0</v>
      </c>
      <c r="Y131" s="272">
        <f t="shared" si="40"/>
        <v>0</v>
      </c>
      <c r="Z131" s="272">
        <f t="shared" si="40"/>
        <v>0</v>
      </c>
      <c r="AA131" s="272">
        <f t="shared" si="40"/>
        <v>0</v>
      </c>
      <c r="AB131" s="272">
        <f t="shared" si="40"/>
        <v>0</v>
      </c>
      <c r="AC131" s="272">
        <f t="shared" si="40"/>
        <v>0</v>
      </c>
      <c r="AD131" s="272">
        <f t="shared" si="40"/>
        <v>0</v>
      </c>
      <c r="AE131" s="272">
        <f t="shared" si="40"/>
        <v>0</v>
      </c>
      <c r="AF131" s="272">
        <f t="shared" si="40"/>
        <v>0</v>
      </c>
      <c r="AG131" s="272">
        <f t="shared" si="40"/>
        <v>0</v>
      </c>
      <c r="AH131" s="272">
        <f t="shared" si="40"/>
        <v>0</v>
      </c>
      <c r="AI131" s="272">
        <f t="shared" si="40"/>
        <v>0</v>
      </c>
      <c r="AJ131" s="272">
        <f t="shared" si="40"/>
        <v>0</v>
      </c>
    </row>
    <row r="132" spans="2:36" s="30" customFormat="1" ht="16">
      <c r="B132" s="260" t="s">
        <v>156</v>
      </c>
      <c r="C132" s="260"/>
      <c r="D132" s="260"/>
      <c r="E132" s="270">
        <f>Inputs!$Q$52*Inputs!$G$7</f>
        <v>0</v>
      </c>
      <c r="F132" s="276"/>
      <c r="G132" s="272">
        <f>IF(G$2=Inputs!$Q$51,'Cash Flow'!$E$132,0)</f>
        <v>0</v>
      </c>
      <c r="H132" s="272">
        <f>IF(H$2=Inputs!$Q$51,'Cash Flow'!$E$132,0)</f>
        <v>0</v>
      </c>
      <c r="I132" s="272">
        <f>IF(I$2=Inputs!$Q$51,'Cash Flow'!$E$132,0)</f>
        <v>0</v>
      </c>
      <c r="J132" s="272">
        <f>IF(J$2=Inputs!$Q$51,'Cash Flow'!$E$132,0)</f>
        <v>0</v>
      </c>
      <c r="K132" s="272">
        <f>IF(K$2=Inputs!$Q$51,'Cash Flow'!$E$132,0)</f>
        <v>0</v>
      </c>
      <c r="L132" s="272">
        <f>IF(L$2=Inputs!$Q$51,'Cash Flow'!$E$132,0)</f>
        <v>0</v>
      </c>
      <c r="M132" s="272">
        <f>IF(M$2=Inputs!$Q$51,'Cash Flow'!$E$132,0)</f>
        <v>0</v>
      </c>
      <c r="N132" s="272">
        <f>IF(N$2=Inputs!$Q$51,'Cash Flow'!$E$132,0)</f>
        <v>0</v>
      </c>
      <c r="O132" s="272">
        <f>IF(O$2=Inputs!$Q$51,'Cash Flow'!$E$132,0)</f>
        <v>0</v>
      </c>
      <c r="P132" s="272">
        <f>IF(P$2=Inputs!$Q$51,'Cash Flow'!$E$132,0)</f>
        <v>0</v>
      </c>
      <c r="Q132" s="272">
        <f>IF(Q$2=Inputs!$Q$51,'Cash Flow'!$E$132,0)</f>
        <v>0</v>
      </c>
      <c r="R132" s="272">
        <f>IF(R$2=Inputs!$Q$51,'Cash Flow'!$E$132,0)</f>
        <v>0</v>
      </c>
      <c r="S132" s="272">
        <f>IF(S$2=Inputs!$Q$51,'Cash Flow'!$E$132,0)</f>
        <v>0</v>
      </c>
      <c r="T132" s="272">
        <f>IF(T$2=Inputs!$Q$51,'Cash Flow'!$E$132,0)</f>
        <v>0</v>
      </c>
      <c r="U132" s="272">
        <f>IF(U$2=Inputs!$Q$51,'Cash Flow'!$E$132,0)</f>
        <v>0</v>
      </c>
      <c r="V132" s="272">
        <f>IF(V$2=Inputs!$Q$51,'Cash Flow'!$E$132,0)</f>
        <v>0</v>
      </c>
      <c r="W132" s="272">
        <f>IF(W$2=Inputs!$Q$51,'Cash Flow'!$E$132,0)</f>
        <v>0</v>
      </c>
      <c r="X132" s="272">
        <f>IF(X$2=Inputs!$Q$51,'Cash Flow'!$E$132,0)</f>
        <v>0</v>
      </c>
      <c r="Y132" s="272">
        <f>IF(Y$2=Inputs!$Q$51,'Cash Flow'!$E$132,0)</f>
        <v>0</v>
      </c>
      <c r="Z132" s="272">
        <f>IF(Z$2=Inputs!$Q$51,'Cash Flow'!$E$132,0)</f>
        <v>0</v>
      </c>
      <c r="AA132" s="272">
        <f>IF(AA$2=Inputs!$Q$51,'Cash Flow'!$E$132,0)</f>
        <v>0</v>
      </c>
      <c r="AB132" s="272">
        <f>IF(AB$2=Inputs!$Q$51,'Cash Flow'!$E$132,0)</f>
        <v>0</v>
      </c>
      <c r="AC132" s="272">
        <f>IF(AC$2=Inputs!$Q$51,'Cash Flow'!$E$132,0)</f>
        <v>0</v>
      </c>
      <c r="AD132" s="272">
        <f>IF(AD$2=Inputs!$Q$51,'Cash Flow'!$E$132,0)</f>
        <v>0</v>
      </c>
      <c r="AE132" s="272">
        <f>IF(AE$2=Inputs!$Q$51,'Cash Flow'!$E$132,0)</f>
        <v>0</v>
      </c>
      <c r="AF132" s="272">
        <f>IF(AF$2=Inputs!$Q$51,'Cash Flow'!$E$132,0)</f>
        <v>0</v>
      </c>
      <c r="AG132" s="272">
        <f>IF(AG$2=Inputs!$Q$51,'Cash Flow'!$E$132,0)</f>
        <v>0</v>
      </c>
      <c r="AH132" s="272">
        <f>IF(AH$2=Inputs!$Q$51,'Cash Flow'!$E$132,0)</f>
        <v>0</v>
      </c>
      <c r="AI132" s="272">
        <f>IF(AI$2=Inputs!$Q$51,'Cash Flow'!$E$132,0)</f>
        <v>0</v>
      </c>
      <c r="AJ132" s="272">
        <f>IF(AJ$2=Inputs!$Q$51,'Cash Flow'!$E$132,0)</f>
        <v>0</v>
      </c>
    </row>
    <row r="133" spans="2:36" s="30" customFormat="1" ht="16">
      <c r="B133" s="260" t="s">
        <v>157</v>
      </c>
      <c r="C133" s="260"/>
      <c r="D133" s="260"/>
      <c r="E133" s="270"/>
      <c r="F133" s="276"/>
      <c r="G133" s="277">
        <f t="shared" ref="G133:AJ133" si="41">IF(G132&gt;0,1,IF(F133&gt;0,F133+1,0))</f>
        <v>0</v>
      </c>
      <c r="H133" s="277">
        <f t="shared" si="41"/>
        <v>0</v>
      </c>
      <c r="I133" s="277">
        <f t="shared" si="41"/>
        <v>0</v>
      </c>
      <c r="J133" s="277">
        <f t="shared" si="41"/>
        <v>0</v>
      </c>
      <c r="K133" s="277">
        <f t="shared" si="41"/>
        <v>0</v>
      </c>
      <c r="L133" s="277">
        <f t="shared" si="41"/>
        <v>0</v>
      </c>
      <c r="M133" s="277">
        <f t="shared" si="41"/>
        <v>0</v>
      </c>
      <c r="N133" s="277">
        <f t="shared" si="41"/>
        <v>0</v>
      </c>
      <c r="O133" s="277">
        <f t="shared" si="41"/>
        <v>0</v>
      </c>
      <c r="P133" s="277">
        <f t="shared" si="41"/>
        <v>0</v>
      </c>
      <c r="Q133" s="277">
        <f t="shared" si="41"/>
        <v>0</v>
      </c>
      <c r="R133" s="277">
        <f t="shared" si="41"/>
        <v>0</v>
      </c>
      <c r="S133" s="277">
        <f t="shared" si="41"/>
        <v>0</v>
      </c>
      <c r="T133" s="277">
        <f t="shared" si="41"/>
        <v>0</v>
      </c>
      <c r="U133" s="277">
        <f t="shared" si="41"/>
        <v>0</v>
      </c>
      <c r="V133" s="277">
        <f t="shared" si="41"/>
        <v>0</v>
      </c>
      <c r="W133" s="277">
        <f t="shared" si="41"/>
        <v>0</v>
      </c>
      <c r="X133" s="277">
        <f t="shared" si="41"/>
        <v>0</v>
      </c>
      <c r="Y133" s="277">
        <f t="shared" si="41"/>
        <v>0</v>
      </c>
      <c r="Z133" s="277">
        <f t="shared" si="41"/>
        <v>0</v>
      </c>
      <c r="AA133" s="277">
        <f t="shared" si="41"/>
        <v>0</v>
      </c>
      <c r="AB133" s="277">
        <f t="shared" si="41"/>
        <v>0</v>
      </c>
      <c r="AC133" s="277">
        <f t="shared" si="41"/>
        <v>0</v>
      </c>
      <c r="AD133" s="277">
        <f t="shared" si="41"/>
        <v>0</v>
      </c>
      <c r="AE133" s="277">
        <f t="shared" si="41"/>
        <v>0</v>
      </c>
      <c r="AF133" s="277">
        <f t="shared" si="41"/>
        <v>0</v>
      </c>
      <c r="AG133" s="277">
        <f t="shared" si="41"/>
        <v>0</v>
      </c>
      <c r="AH133" s="277">
        <f t="shared" si="41"/>
        <v>0</v>
      </c>
      <c r="AI133" s="277">
        <f t="shared" si="41"/>
        <v>0</v>
      </c>
      <c r="AJ133" s="277">
        <f t="shared" si="41"/>
        <v>0</v>
      </c>
    </row>
    <row r="134" spans="2:36" s="30" customFormat="1" ht="16">
      <c r="B134" s="273" t="s">
        <v>158</v>
      </c>
      <c r="C134" s="273"/>
      <c r="D134" s="273"/>
      <c r="E134" s="274"/>
      <c r="F134" s="276"/>
      <c r="G134" s="272">
        <f t="shared" ref="G134:AJ134" si="42">IF(G133=0,0,$E$132*LOOKUP(G133,$G$97:$AJ$97,$G$99:$AJ$99))</f>
        <v>0</v>
      </c>
      <c r="H134" s="272">
        <f t="shared" si="42"/>
        <v>0</v>
      </c>
      <c r="I134" s="272">
        <f t="shared" si="42"/>
        <v>0</v>
      </c>
      <c r="J134" s="272">
        <f t="shared" si="42"/>
        <v>0</v>
      </c>
      <c r="K134" s="272">
        <f t="shared" si="42"/>
        <v>0</v>
      </c>
      <c r="L134" s="272">
        <f t="shared" si="42"/>
        <v>0</v>
      </c>
      <c r="M134" s="272">
        <f t="shared" si="42"/>
        <v>0</v>
      </c>
      <c r="N134" s="272">
        <f t="shared" si="42"/>
        <v>0</v>
      </c>
      <c r="O134" s="272">
        <f t="shared" si="42"/>
        <v>0</v>
      </c>
      <c r="P134" s="272">
        <f t="shared" si="42"/>
        <v>0</v>
      </c>
      <c r="Q134" s="272">
        <f t="shared" si="42"/>
        <v>0</v>
      </c>
      <c r="R134" s="272">
        <f t="shared" si="42"/>
        <v>0</v>
      </c>
      <c r="S134" s="272">
        <f t="shared" si="42"/>
        <v>0</v>
      </c>
      <c r="T134" s="272">
        <f t="shared" si="42"/>
        <v>0</v>
      </c>
      <c r="U134" s="272">
        <f t="shared" si="42"/>
        <v>0</v>
      </c>
      <c r="V134" s="272">
        <f t="shared" si="42"/>
        <v>0</v>
      </c>
      <c r="W134" s="272">
        <f t="shared" si="42"/>
        <v>0</v>
      </c>
      <c r="X134" s="272">
        <f t="shared" si="42"/>
        <v>0</v>
      </c>
      <c r="Y134" s="272">
        <f t="shared" si="42"/>
        <v>0</v>
      </c>
      <c r="Z134" s="272">
        <f t="shared" si="42"/>
        <v>0</v>
      </c>
      <c r="AA134" s="272">
        <f t="shared" si="42"/>
        <v>0</v>
      </c>
      <c r="AB134" s="272">
        <f t="shared" si="42"/>
        <v>0</v>
      </c>
      <c r="AC134" s="272">
        <f t="shared" si="42"/>
        <v>0</v>
      </c>
      <c r="AD134" s="272">
        <f t="shared" si="42"/>
        <v>0</v>
      </c>
      <c r="AE134" s="272">
        <f t="shared" si="42"/>
        <v>0</v>
      </c>
      <c r="AF134" s="272">
        <f t="shared" si="42"/>
        <v>0</v>
      </c>
      <c r="AG134" s="272">
        <f t="shared" si="42"/>
        <v>0</v>
      </c>
      <c r="AH134" s="272">
        <f t="shared" si="42"/>
        <v>0</v>
      </c>
      <c r="AI134" s="272">
        <f t="shared" si="42"/>
        <v>0</v>
      </c>
      <c r="AJ134" s="272">
        <f t="shared" si="42"/>
        <v>0</v>
      </c>
    </row>
    <row r="135" spans="2:36" s="30" customFormat="1" ht="16">
      <c r="B135" s="260" t="s">
        <v>394</v>
      </c>
      <c r="C135" s="260"/>
      <c r="D135" s="260"/>
      <c r="E135" s="270">
        <f>Inputs!$Q$54*Inputs!$G$7</f>
        <v>0</v>
      </c>
      <c r="F135" s="276"/>
      <c r="G135" s="272">
        <f>IF(G$2=Inputs!$Q$53,'Cash Flow'!$E$135,0)</f>
        <v>0</v>
      </c>
      <c r="H135" s="272">
        <f>IF(H$2=Inputs!$Q$53,'Cash Flow'!$E$135,0)</f>
        <v>0</v>
      </c>
      <c r="I135" s="272">
        <f>IF(I$2=Inputs!$Q$53,'Cash Flow'!$E$135,0)</f>
        <v>0</v>
      </c>
      <c r="J135" s="272">
        <f>IF(J$2=Inputs!$Q$53,'Cash Flow'!$E$135,0)</f>
        <v>0</v>
      </c>
      <c r="K135" s="272">
        <f>IF(K$2=Inputs!$Q$53,'Cash Flow'!$E$135,0)</f>
        <v>0</v>
      </c>
      <c r="L135" s="272">
        <f>IF(L$2=Inputs!$Q$53,'Cash Flow'!$E$135,0)</f>
        <v>0</v>
      </c>
      <c r="M135" s="272">
        <f>IF(M$2=Inputs!$Q$53,'Cash Flow'!$E$135,0)</f>
        <v>0</v>
      </c>
      <c r="N135" s="272">
        <f>IF(N$2=Inputs!$Q$53,'Cash Flow'!$E$135,0)</f>
        <v>0</v>
      </c>
      <c r="O135" s="272">
        <f>IF(O$2=Inputs!$Q$53,'Cash Flow'!$E$135,0)</f>
        <v>0</v>
      </c>
      <c r="P135" s="272">
        <f>IF(P$2=Inputs!$Q$53,'Cash Flow'!$E$135,0)</f>
        <v>0</v>
      </c>
      <c r="Q135" s="272">
        <f>IF(Q$2=Inputs!$Q$53,'Cash Flow'!$E$135,0)</f>
        <v>0</v>
      </c>
      <c r="R135" s="272">
        <f>IF(R$2=Inputs!$Q$53,'Cash Flow'!$E$135,0)</f>
        <v>0</v>
      </c>
      <c r="S135" s="272">
        <f>IF(S$2=Inputs!$Q$53,'Cash Flow'!$E$135,0)</f>
        <v>0</v>
      </c>
      <c r="T135" s="272">
        <f>IF(T$2=Inputs!$Q$53,'Cash Flow'!$E$135,0)</f>
        <v>0</v>
      </c>
      <c r="U135" s="272">
        <f>IF(U$2=Inputs!$Q$53,'Cash Flow'!$E$135,0)</f>
        <v>0</v>
      </c>
      <c r="V135" s="272">
        <f>IF(V$2=Inputs!$Q$53,'Cash Flow'!$E$135,0)</f>
        <v>0</v>
      </c>
      <c r="W135" s="272">
        <f>IF(W$2=Inputs!$Q$53,'Cash Flow'!$E$135,0)</f>
        <v>0</v>
      </c>
      <c r="X135" s="272">
        <f>IF(X$2=Inputs!$Q$53,'Cash Flow'!$E$135,0)</f>
        <v>0</v>
      </c>
      <c r="Y135" s="272">
        <f>IF(Y$2=Inputs!$Q$53,'Cash Flow'!$E$135,0)</f>
        <v>0</v>
      </c>
      <c r="Z135" s="272">
        <f>IF(Z$2=Inputs!$Q$53,'Cash Flow'!$E$135,0)</f>
        <v>0</v>
      </c>
      <c r="AA135" s="272">
        <f>IF(AA$2=Inputs!$Q$53,'Cash Flow'!$E$135,0)</f>
        <v>0</v>
      </c>
      <c r="AB135" s="272">
        <f>IF(AB$2=Inputs!$Q$53,'Cash Flow'!$E$135,0)</f>
        <v>0</v>
      </c>
      <c r="AC135" s="272">
        <f>IF(AC$2=Inputs!$Q$53,'Cash Flow'!$E$135,0)</f>
        <v>0</v>
      </c>
      <c r="AD135" s="272">
        <f>IF(AD$2=Inputs!$Q$53,'Cash Flow'!$E$135,0)</f>
        <v>0</v>
      </c>
      <c r="AE135" s="272">
        <f>IF(AE$2=Inputs!$Q$53,'Cash Flow'!$E$135,0)</f>
        <v>0</v>
      </c>
      <c r="AF135" s="272">
        <f>IF(AF$2=Inputs!$Q$53,'Cash Flow'!$E$135,0)</f>
        <v>0</v>
      </c>
      <c r="AG135" s="272">
        <f>IF(AG$2=Inputs!$Q$53,'Cash Flow'!$E$135,0)</f>
        <v>0</v>
      </c>
      <c r="AH135" s="272">
        <f>IF(AH$2=Inputs!$Q$53,'Cash Flow'!$E$135,0)</f>
        <v>0</v>
      </c>
      <c r="AI135" s="272">
        <f>IF(AI$2=Inputs!$Q$53,'Cash Flow'!$E$135,0)</f>
        <v>0</v>
      </c>
      <c r="AJ135" s="272">
        <f>IF(AJ$2=Inputs!$Q$53,'Cash Flow'!$E$135,0)</f>
        <v>0</v>
      </c>
    </row>
    <row r="136" spans="2:36" s="30" customFormat="1" ht="16">
      <c r="B136" s="260" t="s">
        <v>157</v>
      </c>
      <c r="C136" s="260"/>
      <c r="D136" s="260"/>
      <c r="E136" s="270"/>
      <c r="F136" s="276"/>
      <c r="G136" s="277">
        <f>IF(G135&gt;0,1,IF(F136&gt;0,F136+1,0))</f>
        <v>0</v>
      </c>
      <c r="H136" s="277">
        <f t="shared" ref="H136:AJ136" si="43">IF(H135&gt;0,1,IF(G136&gt;0,G136+1,0))</f>
        <v>0</v>
      </c>
      <c r="I136" s="277">
        <f t="shared" si="43"/>
        <v>0</v>
      </c>
      <c r="J136" s="277">
        <f t="shared" si="43"/>
        <v>0</v>
      </c>
      <c r="K136" s="277">
        <f t="shared" si="43"/>
        <v>0</v>
      </c>
      <c r="L136" s="277">
        <f t="shared" si="43"/>
        <v>0</v>
      </c>
      <c r="M136" s="277">
        <f t="shared" si="43"/>
        <v>0</v>
      </c>
      <c r="N136" s="277">
        <f t="shared" si="43"/>
        <v>0</v>
      </c>
      <c r="O136" s="277">
        <f t="shared" si="43"/>
        <v>0</v>
      </c>
      <c r="P136" s="277">
        <f t="shared" si="43"/>
        <v>0</v>
      </c>
      <c r="Q136" s="277">
        <f t="shared" si="43"/>
        <v>0</v>
      </c>
      <c r="R136" s="277">
        <f t="shared" si="43"/>
        <v>0</v>
      </c>
      <c r="S136" s="277">
        <f t="shared" si="43"/>
        <v>0</v>
      </c>
      <c r="T136" s="277">
        <f t="shared" si="43"/>
        <v>0</v>
      </c>
      <c r="U136" s="277">
        <f t="shared" si="43"/>
        <v>0</v>
      </c>
      <c r="V136" s="277">
        <f t="shared" si="43"/>
        <v>0</v>
      </c>
      <c r="W136" s="277">
        <f t="shared" si="43"/>
        <v>0</v>
      </c>
      <c r="X136" s="277">
        <f t="shared" si="43"/>
        <v>0</v>
      </c>
      <c r="Y136" s="277">
        <f t="shared" si="43"/>
        <v>0</v>
      </c>
      <c r="Z136" s="277">
        <f t="shared" si="43"/>
        <v>0</v>
      </c>
      <c r="AA136" s="277">
        <f t="shared" si="43"/>
        <v>0</v>
      </c>
      <c r="AB136" s="277">
        <f t="shared" si="43"/>
        <v>0</v>
      </c>
      <c r="AC136" s="277">
        <f t="shared" si="43"/>
        <v>0</v>
      </c>
      <c r="AD136" s="277">
        <f t="shared" si="43"/>
        <v>0</v>
      </c>
      <c r="AE136" s="277">
        <f t="shared" si="43"/>
        <v>0</v>
      </c>
      <c r="AF136" s="277">
        <f t="shared" si="43"/>
        <v>0</v>
      </c>
      <c r="AG136" s="277">
        <f t="shared" si="43"/>
        <v>0</v>
      </c>
      <c r="AH136" s="277">
        <f t="shared" si="43"/>
        <v>0</v>
      </c>
      <c r="AI136" s="277">
        <f t="shared" si="43"/>
        <v>0</v>
      </c>
      <c r="AJ136" s="277">
        <f t="shared" si="43"/>
        <v>0</v>
      </c>
    </row>
    <row r="137" spans="2:36" s="30" customFormat="1" ht="16">
      <c r="B137" s="273" t="s">
        <v>158</v>
      </c>
      <c r="C137" s="273"/>
      <c r="D137" s="273"/>
      <c r="E137" s="274"/>
      <c r="F137" s="276"/>
      <c r="G137" s="272">
        <f>IF(G136=0,0,$E$135*LOOKUP(G136,$G$97:$AJ$97,$G$99:$AJ$99))</f>
        <v>0</v>
      </c>
      <c r="H137" s="272">
        <f t="shared" ref="H137:AJ137" si="44">IF(H136=0,0,$E$135*LOOKUP(H136,$G$97:$AJ$97,$G$99:$AJ$99))</f>
        <v>0</v>
      </c>
      <c r="I137" s="272">
        <f t="shared" si="44"/>
        <v>0</v>
      </c>
      <c r="J137" s="272">
        <f t="shared" si="44"/>
        <v>0</v>
      </c>
      <c r="K137" s="272">
        <f t="shared" si="44"/>
        <v>0</v>
      </c>
      <c r="L137" s="272">
        <f t="shared" si="44"/>
        <v>0</v>
      </c>
      <c r="M137" s="272">
        <f t="shared" si="44"/>
        <v>0</v>
      </c>
      <c r="N137" s="272">
        <f t="shared" si="44"/>
        <v>0</v>
      </c>
      <c r="O137" s="272">
        <f t="shared" si="44"/>
        <v>0</v>
      </c>
      <c r="P137" s="272">
        <f t="shared" si="44"/>
        <v>0</v>
      </c>
      <c r="Q137" s="272">
        <f t="shared" si="44"/>
        <v>0</v>
      </c>
      <c r="R137" s="272">
        <f t="shared" si="44"/>
        <v>0</v>
      </c>
      <c r="S137" s="272">
        <f t="shared" si="44"/>
        <v>0</v>
      </c>
      <c r="T137" s="272">
        <f t="shared" si="44"/>
        <v>0</v>
      </c>
      <c r="U137" s="272">
        <f t="shared" si="44"/>
        <v>0</v>
      </c>
      <c r="V137" s="272">
        <f t="shared" si="44"/>
        <v>0</v>
      </c>
      <c r="W137" s="272">
        <f t="shared" si="44"/>
        <v>0</v>
      </c>
      <c r="X137" s="272">
        <f t="shared" si="44"/>
        <v>0</v>
      </c>
      <c r="Y137" s="272">
        <f t="shared" si="44"/>
        <v>0</v>
      </c>
      <c r="Z137" s="272">
        <f t="shared" si="44"/>
        <v>0</v>
      </c>
      <c r="AA137" s="272">
        <f t="shared" si="44"/>
        <v>0</v>
      </c>
      <c r="AB137" s="272">
        <f t="shared" si="44"/>
        <v>0</v>
      </c>
      <c r="AC137" s="272">
        <f t="shared" si="44"/>
        <v>0</v>
      </c>
      <c r="AD137" s="272">
        <f t="shared" si="44"/>
        <v>0</v>
      </c>
      <c r="AE137" s="272">
        <f t="shared" si="44"/>
        <v>0</v>
      </c>
      <c r="AF137" s="272">
        <f t="shared" si="44"/>
        <v>0</v>
      </c>
      <c r="AG137" s="272">
        <f t="shared" si="44"/>
        <v>0</v>
      </c>
      <c r="AH137" s="272">
        <f t="shared" si="44"/>
        <v>0</v>
      </c>
      <c r="AI137" s="272">
        <f t="shared" si="44"/>
        <v>0</v>
      </c>
      <c r="AJ137" s="272">
        <f t="shared" si="44"/>
        <v>0</v>
      </c>
    </row>
    <row r="138" spans="2:36" s="30" customFormat="1" ht="16">
      <c r="B138" s="260" t="s">
        <v>395</v>
      </c>
      <c r="C138" s="260"/>
      <c r="D138" s="260"/>
      <c r="E138" s="270">
        <f>Inputs!$Q$56*Inputs!$G$7</f>
        <v>0</v>
      </c>
      <c r="F138" s="276"/>
      <c r="G138" s="272">
        <f>IF(G$2=Inputs!$Q$55,'Cash Flow'!$E$138,0)</f>
        <v>0</v>
      </c>
      <c r="H138" s="272">
        <f>IF(H$2=Inputs!$Q$55,'Cash Flow'!$E$138,0)</f>
        <v>0</v>
      </c>
      <c r="I138" s="272">
        <f>IF(I$2=Inputs!$Q$55,'Cash Flow'!$E$138,0)</f>
        <v>0</v>
      </c>
      <c r="J138" s="272">
        <f>IF(J$2=Inputs!$Q$55,'Cash Flow'!$E$138,0)</f>
        <v>0</v>
      </c>
      <c r="K138" s="272">
        <f>IF(K$2=Inputs!$Q$55,'Cash Flow'!$E$138,0)</f>
        <v>0</v>
      </c>
      <c r="L138" s="272">
        <f>IF(L$2=Inputs!$Q$55,'Cash Flow'!$E$138,0)</f>
        <v>0</v>
      </c>
      <c r="M138" s="272">
        <f>IF(M$2=Inputs!$Q$55,'Cash Flow'!$E$138,0)</f>
        <v>0</v>
      </c>
      <c r="N138" s="272">
        <f>IF(N$2=Inputs!$Q$55,'Cash Flow'!$E$138,0)</f>
        <v>0</v>
      </c>
      <c r="O138" s="272">
        <f>IF(O$2=Inputs!$Q$55,'Cash Flow'!$E$138,0)</f>
        <v>0</v>
      </c>
      <c r="P138" s="272">
        <f>IF(P$2=Inputs!$Q$55,'Cash Flow'!$E$138,0)</f>
        <v>0</v>
      </c>
      <c r="Q138" s="272">
        <f>IF(Q$2=Inputs!$Q$55,'Cash Flow'!$E$138,0)</f>
        <v>0</v>
      </c>
      <c r="R138" s="272">
        <f>IF(R$2=Inputs!$Q$55,'Cash Flow'!$E$138,0)</f>
        <v>0</v>
      </c>
      <c r="S138" s="272">
        <f>IF(S$2=Inputs!$Q$55,'Cash Flow'!$E$138,0)</f>
        <v>0</v>
      </c>
      <c r="T138" s="272">
        <f>IF(T$2=Inputs!$Q$55,'Cash Flow'!$E$138,0)</f>
        <v>0</v>
      </c>
      <c r="U138" s="272">
        <f>IF(U$2=Inputs!$Q$55,'Cash Flow'!$E$138,0)</f>
        <v>0</v>
      </c>
      <c r="V138" s="272">
        <f>IF(V$2=Inputs!$Q$55,'Cash Flow'!$E$138,0)</f>
        <v>0</v>
      </c>
      <c r="W138" s="272">
        <f>IF(W$2=Inputs!$Q$55,'Cash Flow'!$E$138,0)</f>
        <v>0</v>
      </c>
      <c r="X138" s="272">
        <f>IF(X$2=Inputs!$Q$55,'Cash Flow'!$E$138,0)</f>
        <v>0</v>
      </c>
      <c r="Y138" s="272">
        <f>IF(Y$2=Inputs!$Q$55,'Cash Flow'!$E$138,0)</f>
        <v>0</v>
      </c>
      <c r="Z138" s="272">
        <f>IF(Z$2=Inputs!$Q$55,'Cash Flow'!$E$138,0)</f>
        <v>0</v>
      </c>
      <c r="AA138" s="272">
        <f>IF(AA$2=Inputs!$Q$55,'Cash Flow'!$E$138,0)</f>
        <v>0</v>
      </c>
      <c r="AB138" s="272">
        <f>IF(AB$2=Inputs!$Q$55,'Cash Flow'!$E$138,0)</f>
        <v>0</v>
      </c>
      <c r="AC138" s="272">
        <f>IF(AC$2=Inputs!$Q$55,'Cash Flow'!$E$138,0)</f>
        <v>0</v>
      </c>
      <c r="AD138" s="272">
        <f>IF(AD$2=Inputs!$Q$55,'Cash Flow'!$E$138,0)</f>
        <v>0</v>
      </c>
      <c r="AE138" s="272">
        <f>IF(AE$2=Inputs!$Q$55,'Cash Flow'!$E$138,0)</f>
        <v>0</v>
      </c>
      <c r="AF138" s="272">
        <f>IF(AF$2=Inputs!$Q$55,'Cash Flow'!$E$138,0)</f>
        <v>0</v>
      </c>
      <c r="AG138" s="272">
        <f>IF(AG$2=Inputs!$Q$55,'Cash Flow'!$E$138,0)</f>
        <v>0</v>
      </c>
      <c r="AH138" s="272">
        <f>IF(AH$2=Inputs!$Q$55,'Cash Flow'!$E$138,0)</f>
        <v>0</v>
      </c>
      <c r="AI138" s="272">
        <f>IF(AI$2=Inputs!$Q$55,'Cash Flow'!$E$138,0)</f>
        <v>0</v>
      </c>
      <c r="AJ138" s="272">
        <f>IF(AJ$2=Inputs!$Q$55,'Cash Flow'!$E$138,0)</f>
        <v>0</v>
      </c>
    </row>
    <row r="139" spans="2:36" s="30" customFormat="1" ht="16">
      <c r="B139" s="260" t="s">
        <v>157</v>
      </c>
      <c r="C139" s="260"/>
      <c r="D139" s="260"/>
      <c r="E139" s="270"/>
      <c r="F139" s="276"/>
      <c r="G139" s="277">
        <f>IF(G138&gt;0,1,IF(F139&gt;0,F139+1,0))</f>
        <v>0</v>
      </c>
      <c r="H139" s="277">
        <f t="shared" ref="H139:AJ139" si="45">IF(H138&gt;0,1,IF(G139&gt;0,G139+1,0))</f>
        <v>0</v>
      </c>
      <c r="I139" s="277">
        <f t="shared" si="45"/>
        <v>0</v>
      </c>
      <c r="J139" s="277">
        <f t="shared" si="45"/>
        <v>0</v>
      </c>
      <c r="K139" s="277">
        <f t="shared" si="45"/>
        <v>0</v>
      </c>
      <c r="L139" s="277">
        <f t="shared" si="45"/>
        <v>0</v>
      </c>
      <c r="M139" s="277">
        <f t="shared" si="45"/>
        <v>0</v>
      </c>
      <c r="N139" s="277">
        <f t="shared" si="45"/>
        <v>0</v>
      </c>
      <c r="O139" s="277">
        <f t="shared" si="45"/>
        <v>0</v>
      </c>
      <c r="P139" s="277">
        <f t="shared" si="45"/>
        <v>0</v>
      </c>
      <c r="Q139" s="277">
        <f t="shared" si="45"/>
        <v>0</v>
      </c>
      <c r="R139" s="277">
        <f t="shared" si="45"/>
        <v>0</v>
      </c>
      <c r="S139" s="277">
        <f t="shared" si="45"/>
        <v>0</v>
      </c>
      <c r="T139" s="277">
        <f t="shared" si="45"/>
        <v>0</v>
      </c>
      <c r="U139" s="277">
        <f t="shared" si="45"/>
        <v>0</v>
      </c>
      <c r="V139" s="277">
        <f t="shared" si="45"/>
        <v>0</v>
      </c>
      <c r="W139" s="277">
        <f t="shared" si="45"/>
        <v>0</v>
      </c>
      <c r="X139" s="277">
        <f t="shared" si="45"/>
        <v>0</v>
      </c>
      <c r="Y139" s="277">
        <f t="shared" si="45"/>
        <v>0</v>
      </c>
      <c r="Z139" s="277">
        <f t="shared" si="45"/>
        <v>0</v>
      </c>
      <c r="AA139" s="277">
        <f t="shared" si="45"/>
        <v>0</v>
      </c>
      <c r="AB139" s="277">
        <f t="shared" si="45"/>
        <v>0</v>
      </c>
      <c r="AC139" s="277">
        <f t="shared" si="45"/>
        <v>0</v>
      </c>
      <c r="AD139" s="277">
        <f t="shared" si="45"/>
        <v>0</v>
      </c>
      <c r="AE139" s="277">
        <f t="shared" si="45"/>
        <v>0</v>
      </c>
      <c r="AF139" s="277">
        <f t="shared" si="45"/>
        <v>0</v>
      </c>
      <c r="AG139" s="277">
        <f t="shared" si="45"/>
        <v>0</v>
      </c>
      <c r="AH139" s="277">
        <f t="shared" si="45"/>
        <v>0</v>
      </c>
      <c r="AI139" s="277">
        <f t="shared" si="45"/>
        <v>0</v>
      </c>
      <c r="AJ139" s="277">
        <f t="shared" si="45"/>
        <v>0</v>
      </c>
    </row>
    <row r="140" spans="2:36" s="30" customFormat="1" ht="16">
      <c r="B140" s="273" t="s">
        <v>158</v>
      </c>
      <c r="C140" s="273"/>
      <c r="D140" s="273"/>
      <c r="E140" s="274"/>
      <c r="F140" s="276"/>
      <c r="G140" s="272">
        <f>IF(G139=0,0,$E$138*LOOKUP(G139,$G$97:$AJ$97,$G$99:$AJ$99))</f>
        <v>0</v>
      </c>
      <c r="H140" s="272">
        <f t="shared" ref="H140:AJ140" si="46">IF(H139=0,0,$E$138*LOOKUP(H139,$G$97:$AJ$97,$G$99:$AJ$99))</f>
        <v>0</v>
      </c>
      <c r="I140" s="272">
        <f t="shared" si="46"/>
        <v>0</v>
      </c>
      <c r="J140" s="272">
        <f t="shared" si="46"/>
        <v>0</v>
      </c>
      <c r="K140" s="272">
        <f t="shared" si="46"/>
        <v>0</v>
      </c>
      <c r="L140" s="272">
        <f t="shared" si="46"/>
        <v>0</v>
      </c>
      <c r="M140" s="272">
        <f t="shared" si="46"/>
        <v>0</v>
      </c>
      <c r="N140" s="272">
        <f t="shared" si="46"/>
        <v>0</v>
      </c>
      <c r="O140" s="272">
        <f t="shared" si="46"/>
        <v>0</v>
      </c>
      <c r="P140" s="272">
        <f t="shared" si="46"/>
        <v>0</v>
      </c>
      <c r="Q140" s="272">
        <f t="shared" si="46"/>
        <v>0</v>
      </c>
      <c r="R140" s="272">
        <f t="shared" si="46"/>
        <v>0</v>
      </c>
      <c r="S140" s="272">
        <f t="shared" si="46"/>
        <v>0</v>
      </c>
      <c r="T140" s="272">
        <f t="shared" si="46"/>
        <v>0</v>
      </c>
      <c r="U140" s="272">
        <f t="shared" si="46"/>
        <v>0</v>
      </c>
      <c r="V140" s="272">
        <f t="shared" si="46"/>
        <v>0</v>
      </c>
      <c r="W140" s="272">
        <f t="shared" si="46"/>
        <v>0</v>
      </c>
      <c r="X140" s="272">
        <f t="shared" si="46"/>
        <v>0</v>
      </c>
      <c r="Y140" s="272">
        <f t="shared" si="46"/>
        <v>0</v>
      </c>
      <c r="Z140" s="272">
        <f t="shared" si="46"/>
        <v>0</v>
      </c>
      <c r="AA140" s="272">
        <f t="shared" si="46"/>
        <v>0</v>
      </c>
      <c r="AB140" s="272">
        <f t="shared" si="46"/>
        <v>0</v>
      </c>
      <c r="AC140" s="272">
        <f t="shared" si="46"/>
        <v>0</v>
      </c>
      <c r="AD140" s="272">
        <f t="shared" si="46"/>
        <v>0</v>
      </c>
      <c r="AE140" s="272">
        <f t="shared" si="46"/>
        <v>0</v>
      </c>
      <c r="AF140" s="272">
        <f t="shared" si="46"/>
        <v>0</v>
      </c>
      <c r="AG140" s="272">
        <f t="shared" si="46"/>
        <v>0</v>
      </c>
      <c r="AH140" s="272">
        <f t="shared" si="46"/>
        <v>0</v>
      </c>
      <c r="AI140" s="272">
        <f t="shared" si="46"/>
        <v>0</v>
      </c>
      <c r="AJ140" s="272">
        <f t="shared" si="46"/>
        <v>0</v>
      </c>
    </row>
    <row r="141" spans="2:36" s="30" customFormat="1" ht="16">
      <c r="B141" s="260"/>
      <c r="C141" s="275"/>
      <c r="D141" s="275"/>
      <c r="E141" s="270"/>
      <c r="F141" s="276"/>
      <c r="G141" s="272"/>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row>
    <row r="142" spans="2:36" s="30" customFormat="1" ht="16">
      <c r="B142" s="260" t="s">
        <v>247</v>
      </c>
      <c r="C142" s="260"/>
      <c r="D142" s="260"/>
      <c r="E142" s="269"/>
      <c r="F142" s="308"/>
      <c r="G142" s="278">
        <f>IF(AND(Inputs!$G$69="Yes",G$2&lt;=Inputs!$G$11),SUM('Cash Flow'!G116:G124)+G131+G134+G137+G140,0)</f>
        <v>12770914.0625</v>
      </c>
      <c r="H142" s="278">
        <f>IF(AND(Inputs!$G$69="Yes",H$2&lt;=Inputs!$G$11),SUM('Cash Flow'!H116:H124)+H131+H134+H137+H140,0)</f>
        <v>3258261.0887500001</v>
      </c>
      <c r="I142" s="278">
        <f>IF(AND(Inputs!$G$69="Yes",I$2&lt;=Inputs!$G$11),SUM('Cash Flow'!I116:I124)+I131+I134+I137+I140,0)</f>
        <v>1964213.0225</v>
      </c>
      <c r="J142" s="278">
        <f>IF(AND(Inputs!$G$69="Yes",J$2&lt;=Inputs!$G$11),SUM('Cash Flow'!J116:J124)+J131+J134+J137+J140,0)</f>
        <v>1187145.5162499999</v>
      </c>
      <c r="K142" s="278">
        <f>IF(AND(Inputs!$G$69="Yes",K$2&lt;=Inputs!$G$11),SUM('Cash Flow'!K116:K124)+K131+K134+K137+K140,0)</f>
        <v>1185407.115</v>
      </c>
      <c r="L142" s="278">
        <f>IF(AND(Inputs!$G$69="Yes",L$2&lt;=Inputs!$G$11),SUM('Cash Flow'!L116:L124)+L131+L134+L137+L140,0)</f>
        <v>602448.91249999998</v>
      </c>
      <c r="M142" s="278">
        <f>IF(AND(Inputs!$G$69="Yes",M$2&lt;=Inputs!$G$11),SUM('Cash Flow'!M116:M124)+M131+M134+M137+M140,0)</f>
        <v>20119.927499999998</v>
      </c>
      <c r="N142" s="278">
        <f>IF(AND(Inputs!$G$69="Yes",N$2&lt;=Inputs!$G$11),SUM('Cash Flow'!N116:N124)+N131+N134+N137+N140,0)</f>
        <v>19726.935000000001</v>
      </c>
      <c r="O142" s="278">
        <f>IF(AND(Inputs!$G$69="Yes",O$2&lt;=Inputs!$G$11),SUM('Cash Flow'!O116:O124)+O131+O134+O137+O140,0)</f>
        <v>19678.616249999999</v>
      </c>
      <c r="P142" s="278">
        <f>IF(AND(Inputs!$G$69="Yes",P$2&lt;=Inputs!$G$11),SUM('Cash Flow'!P116:P124)+P131+P134+P137+P140,0)</f>
        <v>19661.436249999999</v>
      </c>
      <c r="Q142" s="278">
        <f>IF(AND(Inputs!$G$69="Yes",Q$2&lt;=Inputs!$G$11),SUM('Cash Flow'!Q116:Q124)+Q131+Q134+Q137+Q140,0)</f>
        <v>19678.616249999999</v>
      </c>
      <c r="R142" s="278">
        <f>IF(AND(Inputs!$G$69="Yes",R$2&lt;=Inputs!$G$11),SUM('Cash Flow'!R116:R124)+R131+R134+R137+R140,0)</f>
        <v>19661.436249999999</v>
      </c>
      <c r="S142" s="278">
        <f>IF(AND(Inputs!$G$69="Yes",S$2&lt;=Inputs!$G$11),SUM('Cash Flow'!S116:S124)+S131+S134+S137+S140,0)</f>
        <v>19678.616249999999</v>
      </c>
      <c r="T142" s="278">
        <f>IF(AND(Inputs!$G$69="Yes",T$2&lt;=Inputs!$G$11),SUM('Cash Flow'!T116:T124)+T131+T134+T137+T140,0)</f>
        <v>19661.436249999999</v>
      </c>
      <c r="U142" s="278">
        <f>IF(AND(Inputs!$G$69="Yes",U$2&lt;=Inputs!$G$11),SUM('Cash Flow'!U116:U124)+U131+U134+U137+U140,0)</f>
        <v>19678.616249999999</v>
      </c>
      <c r="V142" s="278">
        <f>IF(AND(Inputs!$G$69="Yes",V$2&lt;=Inputs!$G$11),SUM('Cash Flow'!V116:V124)+V131+V134+V137+V140,0)</f>
        <v>14910.092499999999</v>
      </c>
      <c r="W142" s="278">
        <f>IF(AND(Inputs!$G$69="Yes",W$2&lt;=Inputs!$G$11),SUM('Cash Flow'!W116:W124)+W131+W134+W137+W140,0)</f>
        <v>10159.8225</v>
      </c>
      <c r="X142" s="278">
        <f>IF(AND(Inputs!$G$69="Yes",X$2&lt;=Inputs!$G$11),SUM('Cash Flow'!X116:X124)+X131+X134+X137+X140,0)</f>
        <v>10158.748749999999</v>
      </c>
      <c r="Y142" s="278">
        <f>IF(AND(Inputs!$G$69="Yes",Y$2&lt;=Inputs!$G$11),SUM('Cash Flow'!Y116:Y124)+Y131+Y134+Y137+Y140,0)</f>
        <v>10159.8225</v>
      </c>
      <c r="Z142" s="278">
        <f>IF(AND(Inputs!$G$69="Yes",Z$2&lt;=Inputs!$G$11),SUM('Cash Flow'!Z116:Z124)+Z131+Z134+Z137+Z140,0)</f>
        <v>10158.748749999999</v>
      </c>
      <c r="AA142" s="278">
        <f>IF(AND(Inputs!$G$69="Yes",AA$2&lt;=Inputs!$G$11),SUM('Cash Flow'!AA116:AA124)+AA131+AA134+AA137+AA140,0)</f>
        <v>0</v>
      </c>
      <c r="AB142" s="278">
        <f>IF(AND(Inputs!$G$69="Yes",AB$2&lt;=Inputs!$G$11),SUM('Cash Flow'!AB116:AB124)+AB131+AB134+AB137+AB140,0)</f>
        <v>0</v>
      </c>
      <c r="AC142" s="278">
        <f>IF(AND(Inputs!$G$69="Yes",AC$2&lt;=Inputs!$G$11),SUM('Cash Flow'!AC116:AC124)+AC131+AC134+AC137+AC140,0)</f>
        <v>0</v>
      </c>
      <c r="AD142" s="278">
        <f>IF(AND(Inputs!$G$69="Yes",AD$2&lt;=Inputs!$G$11),SUM('Cash Flow'!AD116:AD124)+AD131+AD134+AD137+AD140,0)</f>
        <v>0</v>
      </c>
      <c r="AE142" s="278">
        <f>IF(AND(Inputs!$G$69="Yes",AE$2&lt;=Inputs!$G$11),SUM('Cash Flow'!AE116:AE124)+AE131+AE134+AE137+AE140,0)</f>
        <v>0</v>
      </c>
      <c r="AF142" s="278">
        <f>IF(AND(Inputs!$G$69="Yes",AF$2&lt;=Inputs!$G$11),SUM('Cash Flow'!AF116:AF124)+AF131+AF134+AF137+AF140,0)</f>
        <v>0</v>
      </c>
      <c r="AG142" s="278">
        <f>IF(AND(Inputs!$G$69="Yes",AG$2&lt;=Inputs!$G$11),SUM('Cash Flow'!AG116:AG124)+AG131+AG134+AG137+AG140,0)</f>
        <v>0</v>
      </c>
      <c r="AH142" s="278">
        <f>IF(AND(Inputs!$G$69="Yes",AH$2&lt;=Inputs!$G$11),SUM('Cash Flow'!AH116:AH124)+AH131+AH134+AH137+AH140,0)</f>
        <v>0</v>
      </c>
      <c r="AI142" s="278">
        <f>IF(AND(Inputs!$G$69="Yes",AI$2&lt;=Inputs!$G$11),SUM('Cash Flow'!AI116:AI124)+AI131+AI134+AI137+AI140,0)</f>
        <v>0</v>
      </c>
      <c r="AJ142" s="278">
        <f>IF(AND(Inputs!$G$69="Yes",AJ$2&lt;=Inputs!$G$11),SUM('Cash Flow'!AJ116:AJ124)+AJ131+AJ134+AJ137+AJ140,0)</f>
        <v>0</v>
      </c>
    </row>
    <row r="143" spans="2:36" s="30" customFormat="1" ht="16">
      <c r="B143" s="260"/>
      <c r="C143" s="260"/>
      <c r="D143" s="260"/>
      <c r="E143" s="269"/>
      <c r="F143" s="308"/>
      <c r="G143" s="278"/>
      <c r="H143" s="278"/>
      <c r="I143" s="278"/>
      <c r="J143" s="278"/>
      <c r="K143" s="278"/>
      <c r="L143" s="278"/>
      <c r="M143" s="278"/>
      <c r="N143" s="278"/>
      <c r="O143" s="278"/>
      <c r="P143" s="278"/>
      <c r="Q143" s="278"/>
      <c r="R143" s="278"/>
      <c r="S143" s="278"/>
      <c r="T143" s="278"/>
      <c r="U143" s="278"/>
      <c r="V143" s="278"/>
      <c r="W143" s="278"/>
      <c r="X143" s="278"/>
      <c r="Y143" s="278"/>
      <c r="Z143" s="278"/>
      <c r="AA143" s="278"/>
      <c r="AB143" s="278"/>
      <c r="AC143" s="278"/>
      <c r="AD143" s="278"/>
      <c r="AE143" s="278"/>
      <c r="AF143" s="278"/>
      <c r="AG143" s="278"/>
      <c r="AH143" s="278"/>
      <c r="AI143" s="278"/>
      <c r="AJ143" s="278"/>
    </row>
    <row r="144" spans="2:36" s="30" customFormat="1" ht="16">
      <c r="B144" s="260" t="s">
        <v>201</v>
      </c>
      <c r="C144" s="260"/>
      <c r="D144" s="260"/>
      <c r="E144" s="269"/>
      <c r="F144" s="308"/>
      <c r="G144" s="280">
        <f>G142*Inputs!$G$74</f>
        <v>5175412.923828125</v>
      </c>
      <c r="H144" s="280">
        <f>H142*Inputs!$G$74</f>
        <v>1320410.3062159375</v>
      </c>
      <c r="I144" s="280">
        <f>I142*Inputs!$G$74</f>
        <v>795997.32736812497</v>
      </c>
      <c r="J144" s="280">
        <f>J142*Inputs!$G$74</f>
        <v>481090.72046031244</v>
      </c>
      <c r="K144" s="280">
        <f>K142*Inputs!$G$74</f>
        <v>480386.23335375002</v>
      </c>
      <c r="L144" s="280">
        <f>L142*Inputs!$G$74</f>
        <v>244142.421790625</v>
      </c>
      <c r="M144" s="280">
        <f>M142*Inputs!$G$74</f>
        <v>8153.600619374999</v>
      </c>
      <c r="N144" s="280">
        <f>N142*Inputs!$G$74</f>
        <v>7994.3404087500003</v>
      </c>
      <c r="O144" s="280">
        <f>O142*Inputs!$G$74</f>
        <v>7974.7592353124992</v>
      </c>
      <c r="P144" s="280">
        <f>P142*Inputs!$G$74</f>
        <v>7967.7970403124991</v>
      </c>
      <c r="Q144" s="280">
        <f>Q142*Inputs!$G$74</f>
        <v>7974.7592353124992</v>
      </c>
      <c r="R144" s="280">
        <f>R142*Inputs!$G$74</f>
        <v>7967.7970403124991</v>
      </c>
      <c r="S144" s="280">
        <f>S142*Inputs!$G$74</f>
        <v>7974.7592353124992</v>
      </c>
      <c r="T144" s="280">
        <f>T142*Inputs!$G$74</f>
        <v>7967.7970403124991</v>
      </c>
      <c r="U144" s="280">
        <f>U142*Inputs!$G$74</f>
        <v>7974.7592353124992</v>
      </c>
      <c r="V144" s="280">
        <f>V142*Inputs!$G$74</f>
        <v>6042.3149856249993</v>
      </c>
      <c r="W144" s="280">
        <f>W142*Inputs!$G$74</f>
        <v>4117.2680681250004</v>
      </c>
      <c r="X144" s="280">
        <f>X142*Inputs!$G$74</f>
        <v>4116.8329309374994</v>
      </c>
      <c r="Y144" s="280">
        <f>Y142*Inputs!$G$74</f>
        <v>4117.2680681250004</v>
      </c>
      <c r="Z144" s="280">
        <f>Z142*Inputs!$G$74</f>
        <v>4116.8329309374994</v>
      </c>
      <c r="AA144" s="280">
        <f>AA142*Inputs!$G$74</f>
        <v>0</v>
      </c>
      <c r="AB144" s="280">
        <f>AB142*Inputs!$G$74</f>
        <v>0</v>
      </c>
      <c r="AC144" s="280">
        <f>AC142*Inputs!$G$74</f>
        <v>0</v>
      </c>
      <c r="AD144" s="280">
        <f>AD142*Inputs!$G$74</f>
        <v>0</v>
      </c>
      <c r="AE144" s="280">
        <f>AE142*Inputs!$G$74</f>
        <v>0</v>
      </c>
      <c r="AF144" s="280">
        <f>AF142*Inputs!$G$74</f>
        <v>0</v>
      </c>
      <c r="AG144" s="280">
        <f>AG142*Inputs!$G$74</f>
        <v>0</v>
      </c>
      <c r="AH144" s="280">
        <f>AH142*Inputs!$G$74</f>
        <v>0</v>
      </c>
      <c r="AI144" s="280">
        <f>AI142*Inputs!$G$74</f>
        <v>0</v>
      </c>
      <c r="AJ144" s="280">
        <f>AJ142*Inputs!$G$74</f>
        <v>0</v>
      </c>
    </row>
    <row r="145" spans="2:36" s="30" customFormat="1" ht="17" thickBot="1">
      <c r="B145" s="281"/>
      <c r="C145" s="281"/>
      <c r="D145" s="281"/>
      <c r="E145" s="282"/>
      <c r="F145" s="282"/>
      <c r="G145" s="283"/>
      <c r="H145" s="284"/>
      <c r="I145" s="282"/>
      <c r="J145" s="282"/>
      <c r="K145" s="282"/>
      <c r="L145" s="282"/>
      <c r="M145" s="282"/>
      <c r="N145" s="282"/>
      <c r="O145" s="282"/>
      <c r="P145" s="282"/>
      <c r="Q145" s="282"/>
      <c r="R145" s="282"/>
      <c r="S145" s="282"/>
      <c r="T145" s="282"/>
      <c r="U145" s="282"/>
      <c r="V145" s="282"/>
      <c r="W145" s="282"/>
      <c r="X145" s="282"/>
      <c r="Y145" s="282"/>
      <c r="Z145" s="282"/>
      <c r="AA145" s="282"/>
      <c r="AB145" s="282"/>
      <c r="AC145" s="282"/>
      <c r="AD145" s="282"/>
      <c r="AE145" s="282"/>
      <c r="AF145" s="282"/>
      <c r="AG145" s="282"/>
      <c r="AH145" s="282"/>
      <c r="AI145" s="282"/>
      <c r="AJ145" s="282"/>
    </row>
    <row r="146" spans="2:36">
      <c r="B146" s="304"/>
      <c r="C146" s="304"/>
      <c r="D146" s="304"/>
      <c r="E146" s="304"/>
      <c r="F146" s="304"/>
      <c r="G146" s="304"/>
      <c r="H146" s="304"/>
      <c r="I146" s="304"/>
      <c r="J146" s="304"/>
      <c r="K146" s="304"/>
      <c r="L146" s="304"/>
      <c r="M146" s="304"/>
      <c r="N146" s="304"/>
      <c r="O146" s="304"/>
      <c r="P146" s="304"/>
      <c r="Q146" s="304"/>
      <c r="R146" s="304"/>
      <c r="S146" s="304"/>
      <c r="T146" s="304"/>
      <c r="U146" s="304"/>
      <c r="V146" s="304"/>
      <c r="W146" s="304"/>
      <c r="X146" s="304"/>
      <c r="Y146" s="304"/>
      <c r="Z146" s="304"/>
      <c r="AA146" s="304"/>
      <c r="AB146" s="304"/>
      <c r="AC146" s="304"/>
      <c r="AD146" s="304"/>
      <c r="AE146" s="304"/>
      <c r="AF146" s="304"/>
      <c r="AG146" s="304"/>
      <c r="AH146" s="304"/>
      <c r="AI146" s="304"/>
      <c r="AJ146" s="304"/>
    </row>
    <row r="147" spans="2:36" ht="16">
      <c r="B147" s="259" t="s">
        <v>241</v>
      </c>
      <c r="C147" s="259"/>
      <c r="D147" s="259"/>
      <c r="E147" s="304"/>
      <c r="F147" s="304"/>
      <c r="G147" s="304"/>
      <c r="H147" s="304"/>
      <c r="I147" s="304"/>
      <c r="J147" s="304"/>
      <c r="K147" s="304"/>
      <c r="L147" s="304"/>
      <c r="M147" s="304"/>
      <c r="N147" s="304"/>
      <c r="O147" s="304"/>
      <c r="P147" s="304"/>
      <c r="Q147" s="304"/>
      <c r="R147" s="304"/>
      <c r="S147" s="304"/>
      <c r="T147" s="304"/>
      <c r="U147" s="304"/>
      <c r="V147" s="304"/>
      <c r="W147" s="304"/>
      <c r="X147" s="304"/>
      <c r="Y147" s="304"/>
      <c r="Z147" s="304"/>
      <c r="AA147" s="304"/>
      <c r="AB147" s="304"/>
      <c r="AC147" s="304"/>
      <c r="AD147" s="304"/>
      <c r="AE147" s="304"/>
      <c r="AF147" s="304"/>
      <c r="AG147" s="304"/>
      <c r="AH147" s="304"/>
      <c r="AI147" s="304"/>
      <c r="AJ147" s="304"/>
    </row>
    <row r="148" spans="2:36" ht="16">
      <c r="B148" s="260"/>
      <c r="C148" s="260"/>
      <c r="D148" s="260"/>
      <c r="E148" s="304"/>
      <c r="F148" s="304"/>
      <c r="G148" s="304"/>
      <c r="H148" s="304"/>
      <c r="I148" s="304"/>
      <c r="J148" s="304"/>
      <c r="K148" s="304"/>
      <c r="L148" s="304"/>
      <c r="M148" s="304"/>
      <c r="N148" s="304"/>
      <c r="O148" s="304"/>
      <c r="P148" s="304"/>
      <c r="Q148" s="304"/>
      <c r="R148" s="304"/>
      <c r="S148" s="304"/>
      <c r="T148" s="304"/>
      <c r="U148" s="304"/>
      <c r="V148" s="304"/>
      <c r="W148" s="304"/>
      <c r="X148" s="304"/>
      <c r="Y148" s="304"/>
      <c r="Z148" s="304"/>
      <c r="AA148" s="304"/>
      <c r="AB148" s="304"/>
      <c r="AC148" s="304"/>
      <c r="AD148" s="304"/>
      <c r="AE148" s="304"/>
      <c r="AF148" s="304"/>
      <c r="AG148" s="304"/>
      <c r="AH148" s="304"/>
      <c r="AI148" s="304"/>
      <c r="AJ148" s="304"/>
    </row>
    <row r="149" spans="2:36" ht="16">
      <c r="B149" s="260" t="s">
        <v>240</v>
      </c>
      <c r="C149" s="260"/>
      <c r="D149" s="260"/>
      <c r="E149" s="304"/>
      <c r="F149" s="304"/>
      <c r="G149" s="280">
        <f>G58</f>
        <v>-11824883.443180658</v>
      </c>
      <c r="H149" s="280">
        <f t="shared" ref="H149:AJ149" si="47">H58</f>
        <v>-2304240.5904172771</v>
      </c>
      <c r="I149" s="280">
        <f t="shared" si="47"/>
        <v>-999914.49151095853</v>
      </c>
      <c r="J149" s="280">
        <f t="shared" si="47"/>
        <v>-210114.07930639829</v>
      </c>
      <c r="K149" s="280">
        <f t="shared" si="47"/>
        <v>-193009.29341995181</v>
      </c>
      <c r="L149" s="280">
        <f t="shared" si="47"/>
        <v>408140.09852647688</v>
      </c>
      <c r="M149" s="280">
        <f t="shared" si="47"/>
        <v>1011690.0181764788</v>
      </c>
      <c r="N149" s="280">
        <f t="shared" si="47"/>
        <v>1036553.2013113713</v>
      </c>
      <c r="O149" s="280">
        <f t="shared" si="47"/>
        <v>1064556.0709566274</v>
      </c>
      <c r="P149" s="280">
        <f t="shared" si="47"/>
        <v>1096263.9546623509</v>
      </c>
      <c r="Q149" s="280">
        <f t="shared" si="47"/>
        <v>1131943.2834759457</v>
      </c>
      <c r="R149" s="280">
        <f t="shared" si="47"/>
        <v>1171951.5429764048</v>
      </c>
      <c r="S149" s="280">
        <f t="shared" si="47"/>
        <v>1216529.2333655481</v>
      </c>
      <c r="T149" s="280">
        <f t="shared" si="47"/>
        <v>1266076.1847637009</v>
      </c>
      <c r="U149" s="280">
        <f t="shared" si="47"/>
        <v>1320878.2130376589</v>
      </c>
      <c r="V149" s="280">
        <f t="shared" si="47"/>
        <v>1380988.3639164022</v>
      </c>
      <c r="W149" s="280">
        <f t="shared" si="47"/>
        <v>1351085.4389764841</v>
      </c>
      <c r="X149" s="280">
        <f t="shared" si="47"/>
        <v>1321365.636563529</v>
      </c>
      <c r="Y149" s="280">
        <f t="shared" si="47"/>
        <v>1291424.5026509766</v>
      </c>
      <c r="Z149" s="280">
        <f t="shared" si="47"/>
        <v>1256936.200954095</v>
      </c>
      <c r="AA149" s="280">
        <f t="shared" si="47"/>
        <v>3749.9999999999982</v>
      </c>
      <c r="AB149" s="280">
        <f t="shared" si="47"/>
        <v>0</v>
      </c>
      <c r="AC149" s="280">
        <f t="shared" si="47"/>
        <v>0</v>
      </c>
      <c r="AD149" s="280">
        <f t="shared" si="47"/>
        <v>0</v>
      </c>
      <c r="AE149" s="280">
        <f t="shared" si="47"/>
        <v>0</v>
      </c>
      <c r="AF149" s="280">
        <f t="shared" si="47"/>
        <v>0</v>
      </c>
      <c r="AG149" s="280">
        <f t="shared" si="47"/>
        <v>0</v>
      </c>
      <c r="AH149" s="280">
        <f t="shared" si="47"/>
        <v>0</v>
      </c>
      <c r="AI149" s="280">
        <f t="shared" si="47"/>
        <v>0</v>
      </c>
      <c r="AJ149" s="280">
        <f t="shared" si="47"/>
        <v>0</v>
      </c>
    </row>
    <row r="150" spans="2:36" ht="16">
      <c r="B150" s="260"/>
      <c r="C150" s="260"/>
      <c r="D150" s="260"/>
      <c r="E150" s="304"/>
      <c r="F150" s="304"/>
      <c r="G150" s="280"/>
      <c r="H150" s="280"/>
      <c r="I150" s="280"/>
      <c r="J150" s="280"/>
      <c r="K150" s="280"/>
      <c r="L150" s="280"/>
      <c r="M150" s="280"/>
      <c r="N150" s="280"/>
      <c r="O150" s="280"/>
      <c r="P150" s="280"/>
      <c r="Q150" s="280"/>
      <c r="R150" s="280"/>
      <c r="S150" s="280"/>
      <c r="T150" s="280"/>
      <c r="U150" s="280"/>
      <c r="V150" s="280"/>
      <c r="W150" s="280"/>
      <c r="X150" s="280"/>
      <c r="Y150" s="280"/>
      <c r="Z150" s="280"/>
      <c r="AA150" s="280"/>
      <c r="AB150" s="280"/>
      <c r="AC150" s="280"/>
      <c r="AD150" s="280"/>
      <c r="AE150" s="280"/>
      <c r="AF150" s="280"/>
      <c r="AG150" s="280"/>
      <c r="AH150" s="280"/>
      <c r="AI150" s="280"/>
      <c r="AJ150" s="280"/>
    </row>
    <row r="151" spans="2:36" ht="16">
      <c r="B151" s="344" t="s">
        <v>299</v>
      </c>
      <c r="C151" s="344"/>
      <c r="D151" s="344"/>
      <c r="E151" s="304"/>
      <c r="F151" s="304"/>
      <c r="G151" s="280"/>
      <c r="H151" s="280"/>
      <c r="I151" s="280"/>
      <c r="J151" s="280"/>
      <c r="K151" s="280"/>
      <c r="L151" s="280"/>
      <c r="M151" s="280"/>
      <c r="N151" s="280"/>
      <c r="O151" s="280"/>
      <c r="P151" s="280"/>
      <c r="Q151" s="280"/>
      <c r="R151" s="280"/>
      <c r="S151" s="280"/>
      <c r="T151" s="280"/>
      <c r="U151" s="280"/>
      <c r="V151" s="280"/>
      <c r="W151" s="280"/>
      <c r="X151" s="280"/>
      <c r="Y151" s="280"/>
      <c r="Z151" s="280"/>
      <c r="AA151" s="280"/>
      <c r="AB151" s="280"/>
      <c r="AC151" s="280"/>
      <c r="AD151" s="280"/>
      <c r="AE151" s="280"/>
      <c r="AF151" s="280"/>
      <c r="AG151" s="280"/>
      <c r="AH151" s="280"/>
      <c r="AI151" s="280"/>
      <c r="AJ151" s="280"/>
    </row>
    <row r="152" spans="2:36" ht="16">
      <c r="B152" s="260" t="s">
        <v>243</v>
      </c>
      <c r="C152" s="260"/>
      <c r="D152" s="260"/>
      <c r="E152" s="304"/>
      <c r="F152" s="304"/>
      <c r="G152" s="280">
        <v>0</v>
      </c>
      <c r="H152" s="280">
        <f>G155</f>
        <v>11824883.443180658</v>
      </c>
      <c r="I152" s="280">
        <f t="shared" ref="I152:AJ152" si="48">H155</f>
        <v>14129124.033597935</v>
      </c>
      <c r="J152" s="280">
        <f t="shared" si="48"/>
        <v>15129038.525108894</v>
      </c>
      <c r="K152" s="280">
        <f t="shared" si="48"/>
        <v>15339152.604415292</v>
      </c>
      <c r="L152" s="280">
        <f t="shared" si="48"/>
        <v>15532161.897835243</v>
      </c>
      <c r="M152" s="280">
        <f t="shared" si="48"/>
        <v>15124021.799308766</v>
      </c>
      <c r="N152" s="280">
        <f t="shared" si="48"/>
        <v>14112331.781132286</v>
      </c>
      <c r="O152" s="280">
        <f t="shared" si="48"/>
        <v>13075778.579820916</v>
      </c>
      <c r="P152" s="280">
        <f t="shared" si="48"/>
        <v>12011222.508864289</v>
      </c>
      <c r="Q152" s="280">
        <f t="shared" si="48"/>
        <v>10914958.554201938</v>
      </c>
      <c r="R152" s="280">
        <f t="shared" si="48"/>
        <v>9783015.2707259916</v>
      </c>
      <c r="S152" s="280">
        <f t="shared" si="48"/>
        <v>8611063.7277495861</v>
      </c>
      <c r="T152" s="280">
        <f t="shared" si="48"/>
        <v>7394534.4943840383</v>
      </c>
      <c r="U152" s="280">
        <f t="shared" si="48"/>
        <v>6128458.3096203376</v>
      </c>
      <c r="V152" s="280">
        <f t="shared" si="48"/>
        <v>4807580.0965826791</v>
      </c>
      <c r="W152" s="280">
        <f t="shared" si="48"/>
        <v>3426591.7326662769</v>
      </c>
      <c r="X152" s="280">
        <f t="shared" si="48"/>
        <v>2075506.2936897927</v>
      </c>
      <c r="Y152" s="280">
        <f t="shared" si="48"/>
        <v>754140.65712626372</v>
      </c>
      <c r="Z152" s="280">
        <f t="shared" si="48"/>
        <v>0</v>
      </c>
      <c r="AA152" s="280">
        <f t="shared" si="48"/>
        <v>0</v>
      </c>
      <c r="AB152" s="280">
        <f t="shared" si="48"/>
        <v>0</v>
      </c>
      <c r="AC152" s="280">
        <f t="shared" si="48"/>
        <v>0</v>
      </c>
      <c r="AD152" s="280">
        <f t="shared" si="48"/>
        <v>0</v>
      </c>
      <c r="AE152" s="280">
        <f t="shared" si="48"/>
        <v>0</v>
      </c>
      <c r="AF152" s="280">
        <f t="shared" si="48"/>
        <v>0</v>
      </c>
      <c r="AG152" s="280">
        <f t="shared" si="48"/>
        <v>0</v>
      </c>
      <c r="AH152" s="280">
        <f t="shared" si="48"/>
        <v>0</v>
      </c>
      <c r="AI152" s="280">
        <f t="shared" si="48"/>
        <v>0</v>
      </c>
      <c r="AJ152" s="280">
        <f t="shared" si="48"/>
        <v>0</v>
      </c>
    </row>
    <row r="153" spans="2:36" ht="16">
      <c r="B153" s="260" t="s">
        <v>244</v>
      </c>
      <c r="C153" s="260"/>
      <c r="D153" s="260"/>
      <c r="E153" s="304"/>
      <c r="F153" s="304"/>
      <c r="G153" s="280">
        <f>IF(G$149&gt;0,0,-G$149)</f>
        <v>11824883.443180658</v>
      </c>
      <c r="H153" s="280">
        <f t="shared" ref="H153:AJ153" si="49">IF(H$149&gt;0,0,-H$149)</f>
        <v>2304240.5904172771</v>
      </c>
      <c r="I153" s="280">
        <f t="shared" si="49"/>
        <v>999914.49151095853</v>
      </c>
      <c r="J153" s="280">
        <f t="shared" si="49"/>
        <v>210114.07930639829</v>
      </c>
      <c r="K153" s="280">
        <f t="shared" si="49"/>
        <v>193009.29341995181</v>
      </c>
      <c r="L153" s="280">
        <f t="shared" si="49"/>
        <v>0</v>
      </c>
      <c r="M153" s="280">
        <f t="shared" si="49"/>
        <v>0</v>
      </c>
      <c r="N153" s="280">
        <f t="shared" si="49"/>
        <v>0</v>
      </c>
      <c r="O153" s="280">
        <f t="shared" si="49"/>
        <v>0</v>
      </c>
      <c r="P153" s="280">
        <f t="shared" si="49"/>
        <v>0</v>
      </c>
      <c r="Q153" s="280">
        <f t="shared" si="49"/>
        <v>0</v>
      </c>
      <c r="R153" s="280">
        <f t="shared" si="49"/>
        <v>0</v>
      </c>
      <c r="S153" s="280">
        <f t="shared" si="49"/>
        <v>0</v>
      </c>
      <c r="T153" s="280">
        <f t="shared" si="49"/>
        <v>0</v>
      </c>
      <c r="U153" s="280">
        <f t="shared" si="49"/>
        <v>0</v>
      </c>
      <c r="V153" s="280">
        <f t="shared" si="49"/>
        <v>0</v>
      </c>
      <c r="W153" s="280">
        <f t="shared" si="49"/>
        <v>0</v>
      </c>
      <c r="X153" s="280">
        <f t="shared" si="49"/>
        <v>0</v>
      </c>
      <c r="Y153" s="280">
        <f t="shared" si="49"/>
        <v>0</v>
      </c>
      <c r="Z153" s="280">
        <f t="shared" si="49"/>
        <v>0</v>
      </c>
      <c r="AA153" s="280">
        <f t="shared" si="49"/>
        <v>0</v>
      </c>
      <c r="AB153" s="280">
        <f t="shared" si="49"/>
        <v>0</v>
      </c>
      <c r="AC153" s="280">
        <f t="shared" si="49"/>
        <v>0</v>
      </c>
      <c r="AD153" s="280">
        <f t="shared" si="49"/>
        <v>0</v>
      </c>
      <c r="AE153" s="280">
        <f t="shared" si="49"/>
        <v>0</v>
      </c>
      <c r="AF153" s="280">
        <f t="shared" si="49"/>
        <v>0</v>
      </c>
      <c r="AG153" s="280">
        <f t="shared" si="49"/>
        <v>0</v>
      </c>
      <c r="AH153" s="280">
        <f t="shared" si="49"/>
        <v>0</v>
      </c>
      <c r="AI153" s="280">
        <f t="shared" si="49"/>
        <v>0</v>
      </c>
      <c r="AJ153" s="280">
        <f t="shared" si="49"/>
        <v>0</v>
      </c>
    </row>
    <row r="154" spans="2:36" ht="16">
      <c r="B154" s="260" t="s">
        <v>242</v>
      </c>
      <c r="C154" s="260"/>
      <c r="D154" s="260"/>
      <c r="E154" s="304"/>
      <c r="F154" s="304"/>
      <c r="G154" s="280">
        <f t="shared" ref="G154:L154" si="50">IF(G$149&lt;=0,0,-MIN(G$149,F$155))</f>
        <v>0</v>
      </c>
      <c r="H154" s="280">
        <f t="shared" si="50"/>
        <v>0</v>
      </c>
      <c r="I154" s="280">
        <f t="shared" si="50"/>
        <v>0</v>
      </c>
      <c r="J154" s="280">
        <f t="shared" si="50"/>
        <v>0</v>
      </c>
      <c r="K154" s="280">
        <f t="shared" si="50"/>
        <v>0</v>
      </c>
      <c r="L154" s="280">
        <f t="shared" si="50"/>
        <v>-408140.09852647688</v>
      </c>
      <c r="M154" s="280">
        <f>IF(M$149&lt;=0,0,-MIN(M$149,L$155))</f>
        <v>-1011690.0181764788</v>
      </c>
      <c r="N154" s="280">
        <f t="shared" ref="N154:AJ154" si="51">IF(N$149&lt;=0,0,-MIN(N$149,M$155))</f>
        <v>-1036553.2013113713</v>
      </c>
      <c r="O154" s="280">
        <f t="shared" si="51"/>
        <v>-1064556.0709566274</v>
      </c>
      <c r="P154" s="280">
        <f t="shared" si="51"/>
        <v>-1096263.9546623509</v>
      </c>
      <c r="Q154" s="280">
        <f t="shared" si="51"/>
        <v>-1131943.2834759457</v>
      </c>
      <c r="R154" s="280">
        <f t="shared" si="51"/>
        <v>-1171951.5429764048</v>
      </c>
      <c r="S154" s="280">
        <f t="shared" si="51"/>
        <v>-1216529.2333655481</v>
      </c>
      <c r="T154" s="280">
        <f t="shared" si="51"/>
        <v>-1266076.1847637009</v>
      </c>
      <c r="U154" s="280">
        <f t="shared" si="51"/>
        <v>-1320878.2130376589</v>
      </c>
      <c r="V154" s="280">
        <f t="shared" si="51"/>
        <v>-1380988.3639164022</v>
      </c>
      <c r="W154" s="280">
        <f t="shared" si="51"/>
        <v>-1351085.4389764841</v>
      </c>
      <c r="X154" s="280">
        <f t="shared" si="51"/>
        <v>-1321365.636563529</v>
      </c>
      <c r="Y154" s="280">
        <f t="shared" si="51"/>
        <v>-754140.65712626372</v>
      </c>
      <c r="Z154" s="280">
        <f t="shared" si="51"/>
        <v>0</v>
      </c>
      <c r="AA154" s="280">
        <f t="shared" si="51"/>
        <v>0</v>
      </c>
      <c r="AB154" s="280">
        <f t="shared" si="51"/>
        <v>0</v>
      </c>
      <c r="AC154" s="280">
        <f t="shared" si="51"/>
        <v>0</v>
      </c>
      <c r="AD154" s="280">
        <f t="shared" si="51"/>
        <v>0</v>
      </c>
      <c r="AE154" s="280">
        <f t="shared" si="51"/>
        <v>0</v>
      </c>
      <c r="AF154" s="280">
        <f t="shared" si="51"/>
        <v>0</v>
      </c>
      <c r="AG154" s="280">
        <f t="shared" si="51"/>
        <v>0</v>
      </c>
      <c r="AH154" s="280">
        <f t="shared" si="51"/>
        <v>0</v>
      </c>
      <c r="AI154" s="280">
        <f t="shared" si="51"/>
        <v>0</v>
      </c>
      <c r="AJ154" s="280">
        <f t="shared" si="51"/>
        <v>0</v>
      </c>
    </row>
    <row r="155" spans="2:36" ht="16">
      <c r="B155" s="260" t="s">
        <v>245</v>
      </c>
      <c r="C155" s="260"/>
      <c r="D155" s="260"/>
      <c r="E155" s="304"/>
      <c r="F155" s="304"/>
      <c r="G155" s="280">
        <f>SUM(G152:G154)</f>
        <v>11824883.443180658</v>
      </c>
      <c r="H155" s="280">
        <f t="shared" ref="H155:AJ155" si="52">SUM(H152:H154)</f>
        <v>14129124.033597935</v>
      </c>
      <c r="I155" s="280">
        <f t="shared" si="52"/>
        <v>15129038.525108894</v>
      </c>
      <c r="J155" s="280">
        <f t="shared" si="52"/>
        <v>15339152.604415292</v>
      </c>
      <c r="K155" s="280">
        <f t="shared" si="52"/>
        <v>15532161.897835243</v>
      </c>
      <c r="L155" s="280">
        <f t="shared" si="52"/>
        <v>15124021.799308766</v>
      </c>
      <c r="M155" s="280">
        <f t="shared" si="52"/>
        <v>14112331.781132286</v>
      </c>
      <c r="N155" s="280">
        <f t="shared" si="52"/>
        <v>13075778.579820916</v>
      </c>
      <c r="O155" s="280">
        <f t="shared" si="52"/>
        <v>12011222.508864289</v>
      </c>
      <c r="P155" s="280">
        <f t="shared" si="52"/>
        <v>10914958.554201938</v>
      </c>
      <c r="Q155" s="280">
        <f t="shared" si="52"/>
        <v>9783015.2707259916</v>
      </c>
      <c r="R155" s="280">
        <f t="shared" si="52"/>
        <v>8611063.7277495861</v>
      </c>
      <c r="S155" s="280">
        <f t="shared" si="52"/>
        <v>7394534.4943840383</v>
      </c>
      <c r="T155" s="280">
        <f t="shared" si="52"/>
        <v>6128458.3096203376</v>
      </c>
      <c r="U155" s="280">
        <f t="shared" si="52"/>
        <v>4807580.0965826791</v>
      </c>
      <c r="V155" s="280">
        <f t="shared" si="52"/>
        <v>3426591.7326662769</v>
      </c>
      <c r="W155" s="280">
        <f t="shared" si="52"/>
        <v>2075506.2936897927</v>
      </c>
      <c r="X155" s="280">
        <f t="shared" si="52"/>
        <v>754140.65712626372</v>
      </c>
      <c r="Y155" s="280">
        <f t="shared" si="52"/>
        <v>0</v>
      </c>
      <c r="Z155" s="280">
        <f t="shared" si="52"/>
        <v>0</v>
      </c>
      <c r="AA155" s="280">
        <f t="shared" si="52"/>
        <v>0</v>
      </c>
      <c r="AB155" s="280">
        <f t="shared" si="52"/>
        <v>0</v>
      </c>
      <c r="AC155" s="280">
        <f t="shared" si="52"/>
        <v>0</v>
      </c>
      <c r="AD155" s="280">
        <f t="shared" si="52"/>
        <v>0</v>
      </c>
      <c r="AE155" s="280">
        <f t="shared" si="52"/>
        <v>0</v>
      </c>
      <c r="AF155" s="280">
        <f t="shared" si="52"/>
        <v>0</v>
      </c>
      <c r="AG155" s="280">
        <f t="shared" si="52"/>
        <v>0</v>
      </c>
      <c r="AH155" s="280">
        <f t="shared" si="52"/>
        <v>0</v>
      </c>
      <c r="AI155" s="280">
        <f t="shared" si="52"/>
        <v>0</v>
      </c>
      <c r="AJ155" s="280">
        <f t="shared" si="52"/>
        <v>0</v>
      </c>
    </row>
    <row r="156" spans="2:36" ht="16">
      <c r="B156" s="260"/>
      <c r="C156" s="260"/>
      <c r="D156" s="260"/>
      <c r="E156" s="304"/>
      <c r="F156" s="304"/>
      <c r="G156" s="304"/>
      <c r="H156" s="304"/>
      <c r="I156" s="304"/>
      <c r="J156" s="304"/>
      <c r="K156" s="304"/>
      <c r="L156" s="304"/>
      <c r="M156" s="304"/>
      <c r="N156" s="304"/>
      <c r="O156" s="304"/>
      <c r="P156" s="304"/>
      <c r="Q156" s="304"/>
      <c r="R156" s="304"/>
      <c r="S156" s="304"/>
      <c r="T156" s="304"/>
      <c r="U156" s="304"/>
      <c r="V156" s="304"/>
      <c r="W156" s="304"/>
      <c r="X156" s="304"/>
      <c r="Y156" s="304"/>
      <c r="Z156" s="304"/>
      <c r="AA156" s="304"/>
      <c r="AB156" s="304"/>
      <c r="AC156" s="304"/>
      <c r="AD156" s="304"/>
      <c r="AE156" s="304"/>
      <c r="AF156" s="304"/>
      <c r="AG156" s="304"/>
      <c r="AH156" s="304"/>
      <c r="AI156" s="304"/>
      <c r="AJ156" s="304"/>
    </row>
    <row r="157" spans="2:36" ht="16">
      <c r="B157" s="260" t="s">
        <v>246</v>
      </c>
      <c r="C157" s="260"/>
      <c r="D157" s="260"/>
      <c r="E157" s="304"/>
      <c r="F157" s="304"/>
      <c r="G157" s="280">
        <f>G149+G153+G154</f>
        <v>0</v>
      </c>
      <c r="H157" s="280">
        <f t="shared" ref="H157:AJ157" si="53">H149+H153+H154</f>
        <v>0</v>
      </c>
      <c r="I157" s="280">
        <f t="shared" si="53"/>
        <v>0</v>
      </c>
      <c r="J157" s="280">
        <f t="shared" si="53"/>
        <v>0</v>
      </c>
      <c r="K157" s="280">
        <f t="shared" si="53"/>
        <v>0</v>
      </c>
      <c r="L157" s="280">
        <f t="shared" si="53"/>
        <v>0</v>
      </c>
      <c r="M157" s="280">
        <f t="shared" si="53"/>
        <v>0</v>
      </c>
      <c r="N157" s="280">
        <f t="shared" si="53"/>
        <v>0</v>
      </c>
      <c r="O157" s="280">
        <f t="shared" si="53"/>
        <v>0</v>
      </c>
      <c r="P157" s="280">
        <f t="shared" si="53"/>
        <v>0</v>
      </c>
      <c r="Q157" s="280">
        <f t="shared" si="53"/>
        <v>0</v>
      </c>
      <c r="R157" s="280">
        <f t="shared" si="53"/>
        <v>0</v>
      </c>
      <c r="S157" s="280">
        <f t="shared" si="53"/>
        <v>0</v>
      </c>
      <c r="T157" s="280">
        <f t="shared" si="53"/>
        <v>0</v>
      </c>
      <c r="U157" s="280">
        <f t="shared" si="53"/>
        <v>0</v>
      </c>
      <c r="V157" s="280">
        <f t="shared" si="53"/>
        <v>0</v>
      </c>
      <c r="W157" s="280">
        <f t="shared" si="53"/>
        <v>0</v>
      </c>
      <c r="X157" s="280">
        <f t="shared" si="53"/>
        <v>0</v>
      </c>
      <c r="Y157" s="280">
        <f t="shared" si="53"/>
        <v>537283.84552471293</v>
      </c>
      <c r="Z157" s="280">
        <f t="shared" si="53"/>
        <v>1256936.200954095</v>
      </c>
      <c r="AA157" s="280">
        <f t="shared" si="53"/>
        <v>3749.9999999999982</v>
      </c>
      <c r="AB157" s="280">
        <f t="shared" si="53"/>
        <v>0</v>
      </c>
      <c r="AC157" s="280">
        <f t="shared" si="53"/>
        <v>0</v>
      </c>
      <c r="AD157" s="280">
        <f t="shared" si="53"/>
        <v>0</v>
      </c>
      <c r="AE157" s="280">
        <f t="shared" si="53"/>
        <v>0</v>
      </c>
      <c r="AF157" s="280">
        <f t="shared" si="53"/>
        <v>0</v>
      </c>
      <c r="AG157" s="280">
        <f t="shared" si="53"/>
        <v>0</v>
      </c>
      <c r="AH157" s="280">
        <f t="shared" si="53"/>
        <v>0</v>
      </c>
      <c r="AI157" s="280">
        <f t="shared" si="53"/>
        <v>0</v>
      </c>
      <c r="AJ157" s="280">
        <f t="shared" si="53"/>
        <v>0</v>
      </c>
    </row>
    <row r="158" spans="2:36" ht="16">
      <c r="B158" s="260"/>
      <c r="C158" s="260"/>
      <c r="D158" s="260"/>
      <c r="E158" s="304"/>
      <c r="F158" s="304"/>
      <c r="G158" s="280"/>
      <c r="H158" s="280"/>
      <c r="I158" s="280"/>
      <c r="J158" s="280"/>
      <c r="K158" s="280"/>
      <c r="L158" s="280"/>
      <c r="M158" s="280"/>
      <c r="N158" s="280"/>
      <c r="O158" s="280"/>
      <c r="P158" s="280"/>
      <c r="Q158" s="280"/>
      <c r="R158" s="280"/>
      <c r="S158" s="280"/>
      <c r="T158" s="280"/>
      <c r="U158" s="280"/>
      <c r="V158" s="280"/>
      <c r="W158" s="280"/>
      <c r="X158" s="280"/>
      <c r="Y158" s="280"/>
      <c r="Z158" s="280"/>
      <c r="AA158" s="280"/>
      <c r="AB158" s="280"/>
      <c r="AC158" s="280"/>
      <c r="AD158" s="280"/>
      <c r="AE158" s="280"/>
      <c r="AF158" s="280"/>
      <c r="AG158" s="280"/>
      <c r="AH158" s="280"/>
      <c r="AI158" s="280"/>
      <c r="AJ158" s="280"/>
    </row>
    <row r="159" spans="2:36" ht="16">
      <c r="B159" s="344" t="s">
        <v>300</v>
      </c>
      <c r="C159" s="344"/>
      <c r="D159" s="344"/>
      <c r="E159" s="304"/>
      <c r="F159" s="304"/>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C159" s="280"/>
      <c r="AD159" s="280"/>
      <c r="AE159" s="280"/>
      <c r="AF159" s="280"/>
      <c r="AG159" s="280"/>
      <c r="AH159" s="280"/>
      <c r="AI159" s="280"/>
      <c r="AJ159" s="280"/>
    </row>
    <row r="160" spans="2:36" ht="16">
      <c r="B160" s="260" t="s">
        <v>243</v>
      </c>
      <c r="C160" s="260"/>
      <c r="D160" s="260"/>
      <c r="E160" s="304"/>
      <c r="F160" s="304"/>
      <c r="G160" s="280">
        <v>0</v>
      </c>
      <c r="H160" s="280">
        <f>G163</f>
        <v>11824883.443180658</v>
      </c>
      <c r="I160" s="280">
        <f t="shared" ref="I160:AJ160" si="54">H163</f>
        <v>14129124.033597935</v>
      </c>
      <c r="J160" s="280">
        <f t="shared" si="54"/>
        <v>15129038.525108894</v>
      </c>
      <c r="K160" s="280">
        <f t="shared" si="54"/>
        <v>15339152.604415292</v>
      </c>
      <c r="L160" s="280">
        <f t="shared" si="54"/>
        <v>15532161.897835243</v>
      </c>
      <c r="M160" s="280">
        <f t="shared" si="54"/>
        <v>15124021.799308766</v>
      </c>
      <c r="N160" s="280">
        <f t="shared" si="54"/>
        <v>14112331.781132286</v>
      </c>
      <c r="O160" s="280">
        <f t="shared" si="54"/>
        <v>13075778.579820916</v>
      </c>
      <c r="P160" s="280">
        <f t="shared" si="54"/>
        <v>12011222.508864289</v>
      </c>
      <c r="Q160" s="280">
        <f t="shared" si="54"/>
        <v>10914958.554201938</v>
      </c>
      <c r="R160" s="280">
        <f t="shared" si="54"/>
        <v>9783015.2707259916</v>
      </c>
      <c r="S160" s="280">
        <f t="shared" si="54"/>
        <v>8611063.7277495861</v>
      </c>
      <c r="T160" s="280">
        <f t="shared" si="54"/>
        <v>7394534.4943840383</v>
      </c>
      <c r="U160" s="280">
        <f t="shared" si="54"/>
        <v>6128458.3096203376</v>
      </c>
      <c r="V160" s="280">
        <f t="shared" si="54"/>
        <v>4807580.0965826791</v>
      </c>
      <c r="W160" s="280">
        <f t="shared" si="54"/>
        <v>3426591.7326662769</v>
      </c>
      <c r="X160" s="280">
        <f t="shared" si="54"/>
        <v>2075506.2936897927</v>
      </c>
      <c r="Y160" s="280">
        <f t="shared" si="54"/>
        <v>754140.65712626372</v>
      </c>
      <c r="Z160" s="280">
        <f t="shared" si="54"/>
        <v>0</v>
      </c>
      <c r="AA160" s="280">
        <f t="shared" si="54"/>
        <v>0</v>
      </c>
      <c r="AB160" s="280">
        <f t="shared" si="54"/>
        <v>0</v>
      </c>
      <c r="AC160" s="280">
        <f t="shared" si="54"/>
        <v>0</v>
      </c>
      <c r="AD160" s="280">
        <f t="shared" si="54"/>
        <v>0</v>
      </c>
      <c r="AE160" s="280">
        <f t="shared" si="54"/>
        <v>0</v>
      </c>
      <c r="AF160" s="280">
        <f t="shared" si="54"/>
        <v>0</v>
      </c>
      <c r="AG160" s="280">
        <f t="shared" si="54"/>
        <v>0</v>
      </c>
      <c r="AH160" s="280">
        <f t="shared" si="54"/>
        <v>0</v>
      </c>
      <c r="AI160" s="280">
        <f t="shared" si="54"/>
        <v>0</v>
      </c>
      <c r="AJ160" s="280">
        <f t="shared" si="54"/>
        <v>0</v>
      </c>
    </row>
    <row r="161" spans="2:36" ht="16">
      <c r="B161" s="260" t="s">
        <v>244</v>
      </c>
      <c r="C161" s="260"/>
      <c r="D161" s="260"/>
      <c r="E161" s="304"/>
      <c r="F161" s="304"/>
      <c r="G161" s="280">
        <f>IF(G$149&gt;0,0,-G$149)</f>
        <v>11824883.443180658</v>
      </c>
      <c r="H161" s="280">
        <f t="shared" ref="H161:AJ161" si="55">IF(H$149&gt;0,0,-H$149)</f>
        <v>2304240.5904172771</v>
      </c>
      <c r="I161" s="280">
        <f t="shared" si="55"/>
        <v>999914.49151095853</v>
      </c>
      <c r="J161" s="280">
        <f t="shared" si="55"/>
        <v>210114.07930639829</v>
      </c>
      <c r="K161" s="280">
        <f t="shared" si="55"/>
        <v>193009.29341995181</v>
      </c>
      <c r="L161" s="280">
        <f t="shared" si="55"/>
        <v>0</v>
      </c>
      <c r="M161" s="280">
        <f t="shared" si="55"/>
        <v>0</v>
      </c>
      <c r="N161" s="280">
        <f t="shared" si="55"/>
        <v>0</v>
      </c>
      <c r="O161" s="280">
        <f t="shared" si="55"/>
        <v>0</v>
      </c>
      <c r="P161" s="280">
        <f t="shared" si="55"/>
        <v>0</v>
      </c>
      <c r="Q161" s="280">
        <f t="shared" si="55"/>
        <v>0</v>
      </c>
      <c r="R161" s="280">
        <f t="shared" si="55"/>
        <v>0</v>
      </c>
      <c r="S161" s="280">
        <f t="shared" si="55"/>
        <v>0</v>
      </c>
      <c r="T161" s="280">
        <f t="shared" si="55"/>
        <v>0</v>
      </c>
      <c r="U161" s="280">
        <f t="shared" si="55"/>
        <v>0</v>
      </c>
      <c r="V161" s="280">
        <f t="shared" si="55"/>
        <v>0</v>
      </c>
      <c r="W161" s="280">
        <f t="shared" si="55"/>
        <v>0</v>
      </c>
      <c r="X161" s="280">
        <f t="shared" si="55"/>
        <v>0</v>
      </c>
      <c r="Y161" s="280">
        <f t="shared" si="55"/>
        <v>0</v>
      </c>
      <c r="Z161" s="280">
        <f t="shared" si="55"/>
        <v>0</v>
      </c>
      <c r="AA161" s="280">
        <f t="shared" si="55"/>
        <v>0</v>
      </c>
      <c r="AB161" s="280">
        <f t="shared" si="55"/>
        <v>0</v>
      </c>
      <c r="AC161" s="280">
        <f t="shared" si="55"/>
        <v>0</v>
      </c>
      <c r="AD161" s="280">
        <f t="shared" si="55"/>
        <v>0</v>
      </c>
      <c r="AE161" s="280">
        <f t="shared" si="55"/>
        <v>0</v>
      </c>
      <c r="AF161" s="280">
        <f t="shared" si="55"/>
        <v>0</v>
      </c>
      <c r="AG161" s="280">
        <f t="shared" si="55"/>
        <v>0</v>
      </c>
      <c r="AH161" s="280">
        <f t="shared" si="55"/>
        <v>0</v>
      </c>
      <c r="AI161" s="280">
        <f t="shared" si="55"/>
        <v>0</v>
      </c>
      <c r="AJ161" s="280">
        <f t="shared" si="55"/>
        <v>0</v>
      </c>
    </row>
    <row r="162" spans="2:36" ht="16">
      <c r="B162" s="260" t="s">
        <v>242</v>
      </c>
      <c r="C162" s="260"/>
      <c r="D162" s="260"/>
      <c r="E162" s="304"/>
      <c r="F162" s="304"/>
      <c r="G162" s="280">
        <f t="shared" ref="G162:AJ162" si="56">IF(G$149&lt;=0,0,-MIN(G$149,F$155))</f>
        <v>0</v>
      </c>
      <c r="H162" s="280">
        <f t="shared" si="56"/>
        <v>0</v>
      </c>
      <c r="I162" s="280">
        <f t="shared" si="56"/>
        <v>0</v>
      </c>
      <c r="J162" s="280">
        <f t="shared" si="56"/>
        <v>0</v>
      </c>
      <c r="K162" s="280">
        <f t="shared" si="56"/>
        <v>0</v>
      </c>
      <c r="L162" s="280">
        <f t="shared" si="56"/>
        <v>-408140.09852647688</v>
      </c>
      <c r="M162" s="280">
        <f t="shared" si="56"/>
        <v>-1011690.0181764788</v>
      </c>
      <c r="N162" s="280">
        <f t="shared" si="56"/>
        <v>-1036553.2013113713</v>
      </c>
      <c r="O162" s="280">
        <f t="shared" si="56"/>
        <v>-1064556.0709566274</v>
      </c>
      <c r="P162" s="280">
        <f t="shared" si="56"/>
        <v>-1096263.9546623509</v>
      </c>
      <c r="Q162" s="280">
        <f t="shared" si="56"/>
        <v>-1131943.2834759457</v>
      </c>
      <c r="R162" s="280">
        <f t="shared" si="56"/>
        <v>-1171951.5429764048</v>
      </c>
      <c r="S162" s="280">
        <f t="shared" si="56"/>
        <v>-1216529.2333655481</v>
      </c>
      <c r="T162" s="280">
        <f t="shared" si="56"/>
        <v>-1266076.1847637009</v>
      </c>
      <c r="U162" s="280">
        <f t="shared" si="56"/>
        <v>-1320878.2130376589</v>
      </c>
      <c r="V162" s="280">
        <f t="shared" si="56"/>
        <v>-1380988.3639164022</v>
      </c>
      <c r="W162" s="280">
        <f t="shared" si="56"/>
        <v>-1351085.4389764841</v>
      </c>
      <c r="X162" s="280">
        <f t="shared" si="56"/>
        <v>-1321365.636563529</v>
      </c>
      <c r="Y162" s="280">
        <f t="shared" si="56"/>
        <v>-754140.65712626372</v>
      </c>
      <c r="Z162" s="280">
        <f t="shared" si="56"/>
        <v>0</v>
      </c>
      <c r="AA162" s="280">
        <f t="shared" si="56"/>
        <v>0</v>
      </c>
      <c r="AB162" s="280">
        <f t="shared" si="56"/>
        <v>0</v>
      </c>
      <c r="AC162" s="280">
        <f t="shared" si="56"/>
        <v>0</v>
      </c>
      <c r="AD162" s="280">
        <f t="shared" si="56"/>
        <v>0</v>
      </c>
      <c r="AE162" s="280">
        <f t="shared" si="56"/>
        <v>0</v>
      </c>
      <c r="AF162" s="280">
        <f t="shared" si="56"/>
        <v>0</v>
      </c>
      <c r="AG162" s="280">
        <f t="shared" si="56"/>
        <v>0</v>
      </c>
      <c r="AH162" s="280">
        <f t="shared" si="56"/>
        <v>0</v>
      </c>
      <c r="AI162" s="280">
        <f t="shared" si="56"/>
        <v>0</v>
      </c>
      <c r="AJ162" s="280">
        <f t="shared" si="56"/>
        <v>0</v>
      </c>
    </row>
    <row r="163" spans="2:36" ht="16">
      <c r="B163" s="260" t="s">
        <v>245</v>
      </c>
      <c r="C163" s="260"/>
      <c r="D163" s="260"/>
      <c r="E163" s="304"/>
      <c r="F163" s="304"/>
      <c r="G163" s="280">
        <f>SUM(G160:G162)</f>
        <v>11824883.443180658</v>
      </c>
      <c r="H163" s="280">
        <f t="shared" ref="H163:AJ163" si="57">SUM(H160:H162)</f>
        <v>14129124.033597935</v>
      </c>
      <c r="I163" s="280">
        <f t="shared" si="57"/>
        <v>15129038.525108894</v>
      </c>
      <c r="J163" s="280">
        <f t="shared" si="57"/>
        <v>15339152.604415292</v>
      </c>
      <c r="K163" s="280">
        <f t="shared" si="57"/>
        <v>15532161.897835243</v>
      </c>
      <c r="L163" s="280">
        <f t="shared" si="57"/>
        <v>15124021.799308766</v>
      </c>
      <c r="M163" s="280">
        <f t="shared" si="57"/>
        <v>14112331.781132286</v>
      </c>
      <c r="N163" s="280">
        <f t="shared" si="57"/>
        <v>13075778.579820916</v>
      </c>
      <c r="O163" s="280">
        <f t="shared" si="57"/>
        <v>12011222.508864289</v>
      </c>
      <c r="P163" s="280">
        <f t="shared" si="57"/>
        <v>10914958.554201938</v>
      </c>
      <c r="Q163" s="280">
        <f t="shared" si="57"/>
        <v>9783015.2707259916</v>
      </c>
      <c r="R163" s="280">
        <f t="shared" si="57"/>
        <v>8611063.7277495861</v>
      </c>
      <c r="S163" s="280">
        <f t="shared" si="57"/>
        <v>7394534.4943840383</v>
      </c>
      <c r="T163" s="280">
        <f t="shared" si="57"/>
        <v>6128458.3096203376</v>
      </c>
      <c r="U163" s="280">
        <f t="shared" si="57"/>
        <v>4807580.0965826791</v>
      </c>
      <c r="V163" s="280">
        <f t="shared" si="57"/>
        <v>3426591.7326662769</v>
      </c>
      <c r="W163" s="280">
        <f t="shared" si="57"/>
        <v>2075506.2936897927</v>
      </c>
      <c r="X163" s="280">
        <f t="shared" si="57"/>
        <v>754140.65712626372</v>
      </c>
      <c r="Y163" s="280">
        <f t="shared" si="57"/>
        <v>0</v>
      </c>
      <c r="Z163" s="280">
        <f t="shared" si="57"/>
        <v>0</v>
      </c>
      <c r="AA163" s="280">
        <f t="shared" si="57"/>
        <v>0</v>
      </c>
      <c r="AB163" s="280">
        <f t="shared" si="57"/>
        <v>0</v>
      </c>
      <c r="AC163" s="280">
        <f t="shared" si="57"/>
        <v>0</v>
      </c>
      <c r="AD163" s="280">
        <f t="shared" si="57"/>
        <v>0</v>
      </c>
      <c r="AE163" s="280">
        <f t="shared" si="57"/>
        <v>0</v>
      </c>
      <c r="AF163" s="280">
        <f t="shared" si="57"/>
        <v>0</v>
      </c>
      <c r="AG163" s="280">
        <f t="shared" si="57"/>
        <v>0</v>
      </c>
      <c r="AH163" s="280">
        <f t="shared" si="57"/>
        <v>0</v>
      </c>
      <c r="AI163" s="280">
        <f t="shared" si="57"/>
        <v>0</v>
      </c>
      <c r="AJ163" s="280">
        <f t="shared" si="57"/>
        <v>0</v>
      </c>
    </row>
    <row r="164" spans="2:36" ht="16">
      <c r="B164" s="260"/>
      <c r="C164" s="260"/>
      <c r="D164" s="260"/>
      <c r="E164" s="304"/>
      <c r="F164" s="304"/>
      <c r="G164" s="304"/>
      <c r="H164" s="304"/>
      <c r="I164" s="304"/>
      <c r="J164" s="304"/>
      <c r="K164" s="304"/>
      <c r="L164" s="304"/>
      <c r="M164" s="304"/>
      <c r="N164" s="304"/>
      <c r="O164" s="304"/>
      <c r="P164" s="304"/>
      <c r="Q164" s="304"/>
      <c r="R164" s="304"/>
      <c r="S164" s="304"/>
      <c r="T164" s="304"/>
      <c r="U164" s="304"/>
      <c r="V164" s="304"/>
      <c r="W164" s="304"/>
      <c r="X164" s="304"/>
      <c r="Y164" s="304"/>
      <c r="Z164" s="304"/>
      <c r="AA164" s="304"/>
      <c r="AB164" s="304"/>
      <c r="AC164" s="304"/>
      <c r="AD164" s="304"/>
      <c r="AE164" s="304"/>
      <c r="AF164" s="304"/>
      <c r="AG164" s="304"/>
      <c r="AH164" s="304"/>
      <c r="AI164" s="304"/>
      <c r="AJ164" s="304"/>
    </row>
    <row r="165" spans="2:36" ht="16">
      <c r="B165" s="260" t="s">
        <v>246</v>
      </c>
      <c r="C165" s="260"/>
      <c r="D165" s="260"/>
      <c r="E165" s="304"/>
      <c r="F165" s="304"/>
      <c r="G165" s="280">
        <f>G149+G161+G162</f>
        <v>0</v>
      </c>
      <c r="H165" s="280">
        <f t="shared" ref="H165:AJ165" si="58">H149+H161+H162</f>
        <v>0</v>
      </c>
      <c r="I165" s="280">
        <f t="shared" si="58"/>
        <v>0</v>
      </c>
      <c r="J165" s="280">
        <f t="shared" si="58"/>
        <v>0</v>
      </c>
      <c r="K165" s="280">
        <f t="shared" si="58"/>
        <v>0</v>
      </c>
      <c r="L165" s="280">
        <f t="shared" si="58"/>
        <v>0</v>
      </c>
      <c r="M165" s="280">
        <f t="shared" si="58"/>
        <v>0</v>
      </c>
      <c r="N165" s="280">
        <f t="shared" si="58"/>
        <v>0</v>
      </c>
      <c r="O165" s="280">
        <f t="shared" si="58"/>
        <v>0</v>
      </c>
      <c r="P165" s="280">
        <f t="shared" si="58"/>
        <v>0</v>
      </c>
      <c r="Q165" s="280">
        <f t="shared" si="58"/>
        <v>0</v>
      </c>
      <c r="R165" s="280">
        <f t="shared" si="58"/>
        <v>0</v>
      </c>
      <c r="S165" s="280">
        <f t="shared" si="58"/>
        <v>0</v>
      </c>
      <c r="T165" s="280">
        <f t="shared" si="58"/>
        <v>0</v>
      </c>
      <c r="U165" s="280">
        <f t="shared" si="58"/>
        <v>0</v>
      </c>
      <c r="V165" s="280">
        <f t="shared" si="58"/>
        <v>0</v>
      </c>
      <c r="W165" s="280">
        <f t="shared" si="58"/>
        <v>0</v>
      </c>
      <c r="X165" s="280">
        <f t="shared" si="58"/>
        <v>0</v>
      </c>
      <c r="Y165" s="280">
        <f t="shared" si="58"/>
        <v>537283.84552471293</v>
      </c>
      <c r="Z165" s="280">
        <f t="shared" si="58"/>
        <v>1256936.200954095</v>
      </c>
      <c r="AA165" s="280">
        <f t="shared" si="58"/>
        <v>3749.9999999999982</v>
      </c>
      <c r="AB165" s="280">
        <f t="shared" si="58"/>
        <v>0</v>
      </c>
      <c r="AC165" s="280">
        <f t="shared" si="58"/>
        <v>0</v>
      </c>
      <c r="AD165" s="280">
        <f t="shared" si="58"/>
        <v>0</v>
      </c>
      <c r="AE165" s="280">
        <f t="shared" si="58"/>
        <v>0</v>
      </c>
      <c r="AF165" s="280">
        <f t="shared" si="58"/>
        <v>0</v>
      </c>
      <c r="AG165" s="280">
        <f t="shared" si="58"/>
        <v>0</v>
      </c>
      <c r="AH165" s="280">
        <f t="shared" si="58"/>
        <v>0</v>
      </c>
      <c r="AI165" s="280">
        <f t="shared" si="58"/>
        <v>0</v>
      </c>
      <c r="AJ165" s="280">
        <f t="shared" si="58"/>
        <v>0</v>
      </c>
    </row>
    <row r="166" spans="2:36" ht="16" thickBot="1">
      <c r="B166" s="306"/>
      <c r="C166" s="306"/>
      <c r="D166" s="306"/>
      <c r="E166" s="306"/>
      <c r="F166" s="306"/>
      <c r="G166" s="306"/>
      <c r="H166" s="306"/>
      <c r="I166" s="306"/>
      <c r="J166" s="306"/>
      <c r="K166" s="306"/>
      <c r="L166" s="306"/>
      <c r="M166" s="306"/>
      <c r="N166" s="306"/>
      <c r="O166" s="306"/>
      <c r="P166" s="306"/>
      <c r="Q166" s="306"/>
      <c r="R166" s="306"/>
      <c r="S166" s="306"/>
      <c r="T166" s="306"/>
      <c r="U166" s="306"/>
      <c r="V166" s="306"/>
      <c r="W166" s="306"/>
      <c r="X166" s="306"/>
      <c r="Y166" s="306"/>
      <c r="Z166" s="306"/>
      <c r="AA166" s="306"/>
      <c r="AB166" s="306"/>
      <c r="AC166" s="306"/>
      <c r="AD166" s="306"/>
      <c r="AE166" s="306"/>
      <c r="AF166" s="306"/>
      <c r="AG166" s="306"/>
      <c r="AH166" s="306"/>
      <c r="AI166" s="306"/>
      <c r="AJ166" s="306"/>
    </row>
    <row r="167" spans="2:36" s="30" customFormat="1" ht="16">
      <c r="B167" s="260"/>
      <c r="C167" s="260"/>
      <c r="D167" s="260"/>
      <c r="E167" s="260"/>
      <c r="F167" s="275"/>
      <c r="G167" s="285"/>
      <c r="H167" s="286"/>
      <c r="I167" s="260"/>
      <c r="J167" s="260"/>
      <c r="K167" s="260"/>
      <c r="L167" s="260"/>
      <c r="M167" s="260"/>
      <c r="N167" s="260"/>
      <c r="O167" s="260"/>
      <c r="P167" s="260"/>
      <c r="Q167" s="260"/>
      <c r="R167" s="260"/>
      <c r="S167" s="260"/>
      <c r="T167" s="260"/>
      <c r="U167" s="260"/>
      <c r="V167" s="260"/>
      <c r="W167" s="260"/>
      <c r="X167" s="260"/>
      <c r="Y167" s="260"/>
      <c r="Z167" s="260"/>
      <c r="AA167" s="260"/>
      <c r="AB167" s="260"/>
      <c r="AC167" s="260"/>
      <c r="AD167" s="260"/>
      <c r="AE167" s="260"/>
      <c r="AF167" s="260"/>
      <c r="AG167" s="260"/>
      <c r="AH167" s="260"/>
      <c r="AI167" s="260"/>
      <c r="AJ167" s="260"/>
    </row>
    <row r="168" spans="2:36" s="30" customFormat="1" ht="16">
      <c r="B168" s="259" t="s">
        <v>248</v>
      </c>
      <c r="C168" s="259"/>
      <c r="D168" s="259"/>
      <c r="E168" s="260"/>
      <c r="F168" s="275"/>
      <c r="G168" s="285"/>
      <c r="H168" s="286"/>
      <c r="I168" s="260"/>
      <c r="J168" s="260"/>
      <c r="K168" s="260"/>
      <c r="L168" s="260"/>
      <c r="M168" s="260"/>
      <c r="N168" s="260"/>
      <c r="O168" s="260"/>
      <c r="P168" s="260"/>
      <c r="Q168" s="260"/>
      <c r="R168" s="260"/>
      <c r="S168" s="260"/>
      <c r="T168" s="260"/>
      <c r="U168" s="260"/>
      <c r="V168" s="260"/>
      <c r="W168" s="260"/>
      <c r="X168" s="260"/>
      <c r="Y168" s="260"/>
      <c r="Z168" s="260"/>
      <c r="AA168" s="260"/>
      <c r="AB168" s="260"/>
      <c r="AC168" s="260"/>
      <c r="AD168" s="260"/>
      <c r="AE168" s="260"/>
      <c r="AF168" s="260"/>
      <c r="AG168" s="260"/>
      <c r="AH168" s="260"/>
      <c r="AI168" s="260"/>
      <c r="AJ168" s="260"/>
    </row>
    <row r="169" spans="2:36" s="30" customFormat="1" ht="16">
      <c r="B169" s="260" t="s">
        <v>249</v>
      </c>
      <c r="C169" s="260"/>
      <c r="D169" s="260"/>
      <c r="E169" s="260"/>
      <c r="F169" s="275"/>
      <c r="G169" s="343">
        <f>IF(OR(Inputs!$G$69="No",Inputs!$Q$18="Performance-Based",Inputs!$Q$18="Neither"),0,IF(AND(Inputs!$Q$19="ITC",G$2=1),Inputs!$Q$22,IF(G$2&gt;1,0,IF(Inputs!$Q$19="Cash Grant",0,"ERROR"))))</f>
        <v>0</v>
      </c>
      <c r="H169" s="343">
        <f>IF(OR(Inputs!$G$69="No",Inputs!$Q$18="Performance-Based",Inputs!$Q$18="Neither"),0,IF(AND(Inputs!$Q$19="ITC",H$2=1),Inputs!$Q$22,IF(H$2&gt;1,0,IF(Inputs!$Q$19="Cash Grant",0,"ERROR"))))</f>
        <v>0</v>
      </c>
      <c r="I169" s="343">
        <f>IF(OR(Inputs!$G$69="No",Inputs!$Q$18="Performance-Based",Inputs!$Q$18="Neither"),0,IF(AND(Inputs!$Q$19="ITC",I$2=1),Inputs!$Q$22,IF(I$2&gt;1,0,IF(Inputs!$Q$19="Cash Grant",0,"ERROR"))))</f>
        <v>0</v>
      </c>
      <c r="J169" s="343">
        <f>IF(OR(Inputs!$G$69="No",Inputs!$Q$18="Performance-Based",Inputs!$Q$18="Neither"),0,IF(AND(Inputs!$Q$19="ITC",J$2=1),Inputs!$Q$22,IF(J$2&gt;1,0,IF(Inputs!$Q$19="Cash Grant",0,"ERROR"))))</f>
        <v>0</v>
      </c>
      <c r="K169" s="343">
        <f>IF(OR(Inputs!$G$69="No",Inputs!$Q$18="Performance-Based",Inputs!$Q$18="Neither"),0,IF(AND(Inputs!$Q$19="ITC",K$2=1),Inputs!$Q$22,IF(K$2&gt;1,0,IF(Inputs!$Q$19="Cash Grant",0,"ERROR"))))</f>
        <v>0</v>
      </c>
      <c r="L169" s="343">
        <f>IF(OR(Inputs!$G$69="No",Inputs!$Q$18="Performance-Based",Inputs!$Q$18="Neither"),0,IF(AND(Inputs!$Q$19="ITC",L$2=1),Inputs!$Q$22,IF(L$2&gt;1,0,IF(Inputs!$Q$19="Cash Grant",0,"ERROR"))))</f>
        <v>0</v>
      </c>
      <c r="M169" s="343">
        <f>IF(OR(Inputs!$G$69="No",Inputs!$Q$18="Performance-Based",Inputs!$Q$18="Neither"),0,IF(AND(Inputs!$Q$19="ITC",M$2=1),Inputs!$Q$22,IF(M$2&gt;1,0,IF(Inputs!$Q$19="Cash Grant",0,"ERROR"))))</f>
        <v>0</v>
      </c>
      <c r="N169" s="343">
        <f>IF(OR(Inputs!$G$69="No",Inputs!$Q$18="Performance-Based",Inputs!$Q$18="Neither"),0,IF(AND(Inputs!$Q$19="ITC",N$2=1),Inputs!$Q$22,IF(N$2&gt;1,0,IF(Inputs!$Q$19="Cash Grant",0,"ERROR"))))</f>
        <v>0</v>
      </c>
      <c r="O169" s="343">
        <f>IF(OR(Inputs!$G$69="No",Inputs!$Q$18="Performance-Based",Inputs!$Q$18="Neither"),0,IF(AND(Inputs!$Q$19="ITC",O$2=1),Inputs!$Q$22,IF(O$2&gt;1,0,IF(Inputs!$Q$19="Cash Grant",0,"ERROR"))))</f>
        <v>0</v>
      </c>
      <c r="P169" s="343">
        <f>IF(OR(Inputs!$G$69="No",Inputs!$Q$18="Performance-Based",Inputs!$Q$18="Neither"),0,IF(AND(Inputs!$Q$19="ITC",P$2=1),Inputs!$Q$22,IF(P$2&gt;1,0,IF(Inputs!$Q$19="Cash Grant",0,"ERROR"))))</f>
        <v>0</v>
      </c>
      <c r="Q169" s="343">
        <f>IF(OR(Inputs!$G$69="No",Inputs!$Q$18="Performance-Based",Inputs!$Q$18="Neither"),0,IF(AND(Inputs!$Q$19="ITC",Q$2=1),Inputs!$Q$22,IF(Q$2&gt;1,0,IF(Inputs!$Q$19="Cash Grant",0,"ERROR"))))</f>
        <v>0</v>
      </c>
      <c r="R169" s="343">
        <f>IF(OR(Inputs!$G$69="No",Inputs!$Q$18="Performance-Based",Inputs!$Q$18="Neither"),0,IF(AND(Inputs!$Q$19="ITC",R$2=1),Inputs!$Q$22,IF(R$2&gt;1,0,IF(Inputs!$Q$19="Cash Grant",0,"ERROR"))))</f>
        <v>0</v>
      </c>
      <c r="S169" s="343">
        <f>IF(OR(Inputs!$G$69="No",Inputs!$Q$18="Performance-Based",Inputs!$Q$18="Neither"),0,IF(AND(Inputs!$Q$19="ITC",S$2=1),Inputs!$Q$22,IF(S$2&gt;1,0,IF(Inputs!$Q$19="Cash Grant",0,"ERROR"))))</f>
        <v>0</v>
      </c>
      <c r="T169" s="343">
        <f>IF(OR(Inputs!$G$69="No",Inputs!$Q$18="Performance-Based",Inputs!$Q$18="Neither"),0,IF(AND(Inputs!$Q$19="ITC",T$2=1),Inputs!$Q$22,IF(T$2&gt;1,0,IF(Inputs!$Q$19="Cash Grant",0,"ERROR"))))</f>
        <v>0</v>
      </c>
      <c r="U169" s="343">
        <f>IF(OR(Inputs!$G$69="No",Inputs!$Q$18="Performance-Based",Inputs!$Q$18="Neither"),0,IF(AND(Inputs!$Q$19="ITC",U$2=1),Inputs!$Q$22,IF(U$2&gt;1,0,IF(Inputs!$Q$19="Cash Grant",0,"ERROR"))))</f>
        <v>0</v>
      </c>
      <c r="V169" s="343">
        <f>IF(OR(Inputs!$G$69="No",Inputs!$Q$18="Performance-Based",Inputs!$Q$18="Neither"),0,IF(AND(Inputs!$Q$19="ITC",V$2=1),Inputs!$Q$22,IF(V$2&gt;1,0,IF(Inputs!$Q$19="Cash Grant",0,"ERROR"))))</f>
        <v>0</v>
      </c>
      <c r="W169" s="343">
        <f>IF(OR(Inputs!$G$69="No",Inputs!$Q$18="Performance-Based",Inputs!$Q$18="Neither"),0,IF(AND(Inputs!$Q$19="ITC",W$2=1),Inputs!$Q$22,IF(W$2&gt;1,0,IF(Inputs!$Q$19="Cash Grant",0,"ERROR"))))</f>
        <v>0</v>
      </c>
      <c r="X169" s="343">
        <f>IF(OR(Inputs!$G$69="No",Inputs!$Q$18="Performance-Based",Inputs!$Q$18="Neither"),0,IF(AND(Inputs!$Q$19="ITC",X$2=1),Inputs!$Q$22,IF(X$2&gt;1,0,IF(Inputs!$Q$19="Cash Grant",0,"ERROR"))))</f>
        <v>0</v>
      </c>
      <c r="Y169" s="343">
        <f>IF(OR(Inputs!$G$69="No",Inputs!$Q$18="Performance-Based",Inputs!$Q$18="Neither"),0,IF(AND(Inputs!$Q$19="ITC",Y$2=1),Inputs!$Q$22,IF(Y$2&gt;1,0,IF(Inputs!$Q$19="Cash Grant",0,"ERROR"))))</f>
        <v>0</v>
      </c>
      <c r="Z169" s="343">
        <f>IF(OR(Inputs!$G$69="No",Inputs!$Q$18="Performance-Based",Inputs!$Q$18="Neither"),0,IF(AND(Inputs!$Q$19="ITC",Z$2=1),Inputs!$Q$22,IF(Z$2&gt;1,0,IF(Inputs!$Q$19="Cash Grant",0,"ERROR"))))</f>
        <v>0</v>
      </c>
      <c r="AA169" s="343">
        <f>IF(OR(Inputs!$G$69="No",Inputs!$Q$18="Performance-Based",Inputs!$Q$18="Neither"),0,IF(AND(Inputs!$Q$19="ITC",AA$2=1),Inputs!$Q$22,IF(AA$2&gt;1,0,IF(Inputs!$Q$19="Cash Grant",0,"ERROR"))))</f>
        <v>0</v>
      </c>
      <c r="AB169" s="343">
        <f>IF(OR(Inputs!$G$69="No",Inputs!$Q$18="Performance-Based",Inputs!$Q$18="Neither"),0,IF(AND(Inputs!$Q$19="ITC",AB$2=1),Inputs!$Q$22,IF(AB$2&gt;1,0,IF(Inputs!$Q$19="Cash Grant",0,"ERROR"))))</f>
        <v>0</v>
      </c>
      <c r="AC169" s="343">
        <f>IF(OR(Inputs!$G$69="No",Inputs!$Q$18="Performance-Based",Inputs!$Q$18="Neither"),0,IF(AND(Inputs!$Q$19="ITC",AC$2=1),Inputs!$Q$22,IF(AC$2&gt;1,0,IF(Inputs!$Q$19="Cash Grant",0,"ERROR"))))</f>
        <v>0</v>
      </c>
      <c r="AD169" s="343">
        <f>IF(OR(Inputs!$G$69="No",Inputs!$Q$18="Performance-Based",Inputs!$Q$18="Neither"),0,IF(AND(Inputs!$Q$19="ITC",AD$2=1),Inputs!$Q$22,IF(AD$2&gt;1,0,IF(Inputs!$Q$19="Cash Grant",0,"ERROR"))))</f>
        <v>0</v>
      </c>
      <c r="AE169" s="343">
        <f>IF(OR(Inputs!$G$69="No",Inputs!$Q$18="Performance-Based",Inputs!$Q$18="Neither"),0,IF(AND(Inputs!$Q$19="ITC",AE$2=1),Inputs!$Q$22,IF(AE$2&gt;1,0,IF(Inputs!$Q$19="Cash Grant",0,"ERROR"))))</f>
        <v>0</v>
      </c>
      <c r="AF169" s="343">
        <f>IF(OR(Inputs!$G$69="No",Inputs!$Q$18="Performance-Based",Inputs!$Q$18="Neither"),0,IF(AND(Inputs!$Q$19="ITC",AF$2=1),Inputs!$Q$22,IF(AF$2&gt;1,0,IF(Inputs!$Q$19="Cash Grant",0,"ERROR"))))</f>
        <v>0</v>
      </c>
      <c r="AG169" s="343">
        <f>IF(OR(Inputs!$G$69="No",Inputs!$Q$18="Performance-Based",Inputs!$Q$18="Neither"),0,IF(AND(Inputs!$Q$19="ITC",AG$2=1),Inputs!$Q$22,IF(AG$2&gt;1,0,IF(Inputs!$Q$19="Cash Grant",0,"ERROR"))))</f>
        <v>0</v>
      </c>
      <c r="AH169" s="343">
        <f>IF(OR(Inputs!$G$69="No",Inputs!$Q$18="Performance-Based",Inputs!$Q$18="Neither"),0,IF(AND(Inputs!$Q$19="ITC",AH$2=1),Inputs!$Q$22,IF(AH$2&gt;1,0,IF(Inputs!$Q$19="Cash Grant",0,"ERROR"))))</f>
        <v>0</v>
      </c>
      <c r="AI169" s="343">
        <f>IF(OR(Inputs!$G$69="No",Inputs!$Q$18="Performance-Based",Inputs!$Q$18="Neither"),0,IF(AND(Inputs!$Q$19="ITC",AI$2=1),Inputs!$Q$22,IF(AI$2&gt;1,0,IF(Inputs!$Q$19="Cash Grant",0,"ERROR"))))</f>
        <v>0</v>
      </c>
      <c r="AJ169" s="343">
        <f>IF(OR(Inputs!$G$69="No",Inputs!$Q$18="Performance-Based",Inputs!$Q$18="Neither"),0,IF(AND(Inputs!$Q$19="ITC",AJ$2=1),Inputs!$Q$22,IF(AJ$2&gt;1,0,IF(Inputs!$Q$19="Cash Grant",0,"ERROR"))))</f>
        <v>0</v>
      </c>
    </row>
    <row r="170" spans="2:36" s="30" customFormat="1" ht="16">
      <c r="B170" s="260" t="s">
        <v>208</v>
      </c>
      <c r="C170" s="260"/>
      <c r="D170" s="260"/>
      <c r="E170" s="260"/>
      <c r="F170" s="275"/>
      <c r="G170" s="280">
        <f>IF(OR(Inputs!$G$69="No",Inputs!$Q$18="Cost-Based",Inputs!$Q$18="Neither"),0,IF(Inputs!$Q$23="Tax Credit",IF(G$2&gt;Inputs!$Q$26,0,Inputs!$Q$24/100*G$9*Inputs!$Q$25*G$5*(1-MIN(Inputs!$Q$28/Inputs!$G$22,50%))),0))</f>
        <v>0</v>
      </c>
      <c r="H170" s="280">
        <f>IF(OR(Inputs!$G$69="No",Inputs!$Q$18="Cost-Based",Inputs!$Q$18="Neither"),0,IF(Inputs!$Q$23="Tax Credit",IF(H$2&gt;Inputs!$Q$26,0,Inputs!$Q$24/100*H$9*Inputs!$Q$25*H$5*(1-MIN(Inputs!$Q$28/Inputs!$G$22,50%))),0))</f>
        <v>0</v>
      </c>
      <c r="I170" s="280">
        <f>IF(OR(Inputs!$G$69="No",Inputs!$Q$18="Cost-Based",Inputs!$Q$18="Neither"),0,IF(Inputs!$Q$23="Tax Credit",IF(I$2&gt;Inputs!$Q$26,0,Inputs!$Q$24/100*I$9*Inputs!$Q$25*I$5*(1-MIN(Inputs!$Q$28/Inputs!$G$22,50%))),0))</f>
        <v>0</v>
      </c>
      <c r="J170" s="280">
        <f>IF(OR(Inputs!$G$69="No",Inputs!$Q$18="Cost-Based",Inputs!$Q$18="Neither"),0,IF(Inputs!$Q$23="Tax Credit",IF(J$2&gt;Inputs!$Q$26,0,Inputs!$Q$24/100*J$9*Inputs!$Q$25*J$5*(1-MIN(Inputs!$Q$28/Inputs!$G$22,50%))),0))</f>
        <v>0</v>
      </c>
      <c r="K170" s="280">
        <f>IF(OR(Inputs!$G$69="No",Inputs!$Q$18="Cost-Based",Inputs!$Q$18="Neither"),0,IF(Inputs!$Q$23="Tax Credit",IF(K$2&gt;Inputs!$Q$26,0,Inputs!$Q$24/100*K$9*Inputs!$Q$25*K$5*(1-MIN(Inputs!$Q$28/Inputs!$G$22,50%))),0))</f>
        <v>0</v>
      </c>
      <c r="L170" s="280">
        <f>IF(OR(Inputs!$G$69="No",Inputs!$Q$18="Cost-Based",Inputs!$Q$18="Neither"),0,IF(Inputs!$Q$23="Tax Credit",IF(L$2&gt;Inputs!$Q$26,0,Inputs!$Q$24/100*L$9*Inputs!$Q$25*L$5*(1-MIN(Inputs!$Q$28/Inputs!$G$22,50%))),0))</f>
        <v>0</v>
      </c>
      <c r="M170" s="280">
        <f>IF(OR(Inputs!$G$69="No",Inputs!$Q$18="Cost-Based",Inputs!$Q$18="Neither"),0,IF(Inputs!$Q$23="Tax Credit",IF(M$2&gt;Inputs!$Q$26,0,Inputs!$Q$24/100*M$9*Inputs!$Q$25*M$5*(1-MIN(Inputs!$Q$28/Inputs!$G$22,50%))),0))</f>
        <v>0</v>
      </c>
      <c r="N170" s="280">
        <f>IF(OR(Inputs!$G$69="No",Inputs!$Q$18="Cost-Based",Inputs!$Q$18="Neither"),0,IF(Inputs!$Q$23="Tax Credit",IF(N$2&gt;Inputs!$Q$26,0,Inputs!$Q$24/100*N$9*Inputs!$Q$25*N$5*(1-MIN(Inputs!$Q$28/Inputs!$G$22,50%))),0))</f>
        <v>0</v>
      </c>
      <c r="O170" s="280">
        <f>IF(OR(Inputs!$G$69="No",Inputs!$Q$18="Cost-Based",Inputs!$Q$18="Neither"),0,IF(Inputs!$Q$23="Tax Credit",IF(O$2&gt;Inputs!$Q$26,0,Inputs!$Q$24/100*O$9*Inputs!$Q$25*O$5*(1-MIN(Inputs!$Q$28/Inputs!$G$22,50%))),0))</f>
        <v>0</v>
      </c>
      <c r="P170" s="280">
        <f>IF(OR(Inputs!$G$69="No",Inputs!$Q$18="Cost-Based",Inputs!$Q$18="Neither"),0,IF(Inputs!$Q$23="Tax Credit",IF(P$2&gt;Inputs!$Q$26,0,Inputs!$Q$24/100*P$9*Inputs!$Q$25*P$5*(1-MIN(Inputs!$Q$28/Inputs!$G$22,50%))),0))</f>
        <v>0</v>
      </c>
      <c r="Q170" s="280">
        <f>IF(OR(Inputs!$G$69="No",Inputs!$Q$18="Cost-Based",Inputs!$Q$18="Neither"),0,IF(Inputs!$Q$23="Tax Credit",IF(Q$2&gt;Inputs!$Q$26,0,Inputs!$Q$24/100*Q$9*Inputs!$Q$25*Q$5*(1-MIN(Inputs!$Q$28/Inputs!$G$22,50%))),0))</f>
        <v>0</v>
      </c>
      <c r="R170" s="280">
        <f>IF(OR(Inputs!$G$69="No",Inputs!$Q$18="Cost-Based",Inputs!$Q$18="Neither"),0,IF(Inputs!$Q$23="Tax Credit",IF(R$2&gt;Inputs!$Q$26,0,Inputs!$Q$24/100*R$9*Inputs!$Q$25*R$5*(1-MIN(Inputs!$Q$28/Inputs!$G$22,50%))),0))</f>
        <v>0</v>
      </c>
      <c r="S170" s="280">
        <f>IF(OR(Inputs!$G$69="No",Inputs!$Q$18="Cost-Based",Inputs!$Q$18="Neither"),0,IF(Inputs!$Q$23="Tax Credit",IF(S$2&gt;Inputs!$Q$26,0,Inputs!$Q$24/100*S$9*Inputs!$Q$25*S$5*(1-MIN(Inputs!$Q$28/Inputs!$G$22,50%))),0))</f>
        <v>0</v>
      </c>
      <c r="T170" s="280">
        <f>IF(OR(Inputs!$G$69="No",Inputs!$Q$18="Cost-Based",Inputs!$Q$18="Neither"),0,IF(Inputs!$Q$23="Tax Credit",IF(T$2&gt;Inputs!$Q$26,0,Inputs!$Q$24/100*T$9*Inputs!$Q$25*T$5*(1-MIN(Inputs!$Q$28/Inputs!$G$22,50%))),0))</f>
        <v>0</v>
      </c>
      <c r="U170" s="280">
        <f>IF(OR(Inputs!$G$69="No",Inputs!$Q$18="Cost-Based",Inputs!$Q$18="Neither"),0,IF(Inputs!$Q$23="Tax Credit",IF(U$2&gt;Inputs!$Q$26,0,Inputs!$Q$24/100*U$9*Inputs!$Q$25*U$5*(1-MIN(Inputs!$Q$28/Inputs!$G$22,50%))),0))</f>
        <v>0</v>
      </c>
      <c r="V170" s="280">
        <f>IF(OR(Inputs!$G$69="No",Inputs!$Q$18="Cost-Based",Inputs!$Q$18="Neither"),0,IF(Inputs!$Q$23="Tax Credit",IF(V$2&gt;Inputs!$Q$26,0,Inputs!$Q$24/100*V$9*Inputs!$Q$25*V$5*(1-MIN(Inputs!$Q$28/Inputs!$G$22,50%))),0))</f>
        <v>0</v>
      </c>
      <c r="W170" s="280">
        <f>IF(OR(Inputs!$G$69="No",Inputs!$Q$18="Cost-Based",Inputs!$Q$18="Neither"),0,IF(Inputs!$Q$23="Tax Credit",IF(W$2&gt;Inputs!$Q$26,0,Inputs!$Q$24/100*W$9*Inputs!$Q$25*W$5*(1-MIN(Inputs!$Q$28/Inputs!$G$22,50%))),0))</f>
        <v>0</v>
      </c>
      <c r="X170" s="280">
        <f>IF(OR(Inputs!$G$69="No",Inputs!$Q$18="Cost-Based",Inputs!$Q$18="Neither"),0,IF(Inputs!$Q$23="Tax Credit",IF(X$2&gt;Inputs!$Q$26,0,Inputs!$Q$24/100*X$9*Inputs!$Q$25*X$5*(1-MIN(Inputs!$Q$28/Inputs!$G$22,50%))),0))</f>
        <v>0</v>
      </c>
      <c r="Y170" s="280">
        <f>IF(OR(Inputs!$G$69="No",Inputs!$Q$18="Cost-Based",Inputs!$Q$18="Neither"),0,IF(Inputs!$Q$23="Tax Credit",IF(Y$2&gt;Inputs!$Q$26,0,Inputs!$Q$24/100*Y$9*Inputs!$Q$25*Y$5*(1-MIN(Inputs!$Q$28/Inputs!$G$22,50%))),0))</f>
        <v>0</v>
      </c>
      <c r="Z170" s="280">
        <f>IF(OR(Inputs!$G$69="No",Inputs!$Q$18="Cost-Based",Inputs!$Q$18="Neither"),0,IF(Inputs!$Q$23="Tax Credit",IF(Z$2&gt;Inputs!$Q$26,0,Inputs!$Q$24/100*Z$9*Inputs!$Q$25*Z$5*(1-MIN(Inputs!$Q$28/Inputs!$G$22,50%))),0))</f>
        <v>0</v>
      </c>
      <c r="AA170" s="280">
        <f>IF(OR(Inputs!$G$69="No",Inputs!$Q$18="Cost-Based",Inputs!$Q$18="Neither"),0,IF(Inputs!$Q$23="Tax Credit",IF(AA$2&gt;Inputs!$Q$26,0,Inputs!$Q$24/100*AA$9*Inputs!$Q$25*AA$5*(1-MIN(Inputs!$Q$28/Inputs!$G$22,50%))),0))</f>
        <v>0</v>
      </c>
      <c r="AB170" s="280">
        <f>IF(OR(Inputs!$G$69="No",Inputs!$Q$18="Cost-Based",Inputs!$Q$18="Neither"),0,IF(Inputs!$Q$23="Tax Credit",IF(AB$2&gt;Inputs!$Q$26,0,Inputs!$Q$24/100*AB$9*Inputs!$Q$25*AB$5*(1-MIN(Inputs!$Q$28/Inputs!$G$22,50%))),0))</f>
        <v>0</v>
      </c>
      <c r="AC170" s="280">
        <f>IF(OR(Inputs!$G$69="No",Inputs!$Q$18="Cost-Based",Inputs!$Q$18="Neither"),0,IF(Inputs!$Q$23="Tax Credit",IF(AC$2&gt;Inputs!$Q$26,0,Inputs!$Q$24/100*AC$9*Inputs!$Q$25*AC$5*(1-MIN(Inputs!$Q$28/Inputs!$G$22,50%))),0))</f>
        <v>0</v>
      </c>
      <c r="AD170" s="280">
        <f>IF(OR(Inputs!$G$69="No",Inputs!$Q$18="Cost-Based",Inputs!$Q$18="Neither"),0,IF(Inputs!$Q$23="Tax Credit",IF(AD$2&gt;Inputs!$Q$26,0,Inputs!$Q$24/100*AD$9*Inputs!$Q$25*AD$5*(1-MIN(Inputs!$Q$28/Inputs!$G$22,50%))),0))</f>
        <v>0</v>
      </c>
      <c r="AE170" s="280">
        <f>IF(OR(Inputs!$G$69="No",Inputs!$Q$18="Cost-Based",Inputs!$Q$18="Neither"),0,IF(Inputs!$Q$23="Tax Credit",IF(AE$2&gt;Inputs!$Q$26,0,Inputs!$Q$24/100*AE$9*Inputs!$Q$25*AE$5*(1-MIN(Inputs!$Q$28/Inputs!$G$22,50%))),0))</f>
        <v>0</v>
      </c>
      <c r="AF170" s="280">
        <f>IF(OR(Inputs!$G$69="No",Inputs!$Q$18="Cost-Based",Inputs!$Q$18="Neither"),0,IF(Inputs!$Q$23="Tax Credit",IF(AF$2&gt;Inputs!$Q$26,0,Inputs!$Q$24/100*AF$9*Inputs!$Q$25*AF$5*(1-MIN(Inputs!$Q$28/Inputs!$G$22,50%))),0))</f>
        <v>0</v>
      </c>
      <c r="AG170" s="280">
        <f>IF(OR(Inputs!$G$69="No",Inputs!$Q$18="Cost-Based",Inputs!$Q$18="Neither"),0,IF(Inputs!$Q$23="Tax Credit",IF(AG$2&gt;Inputs!$Q$26,0,Inputs!$Q$24/100*AG$9*Inputs!$Q$25*AG$5*(1-MIN(Inputs!$Q$28/Inputs!$G$22,50%))),0))</f>
        <v>0</v>
      </c>
      <c r="AH170" s="280">
        <f>IF(OR(Inputs!$G$69="No",Inputs!$Q$18="Cost-Based",Inputs!$Q$18="Neither"),0,IF(Inputs!$Q$23="Tax Credit",IF(AH$2&gt;Inputs!$Q$26,0,Inputs!$Q$24/100*AH$9*Inputs!$Q$25*AH$5*(1-MIN(Inputs!$Q$28/Inputs!$G$22,50%))),0))</f>
        <v>0</v>
      </c>
      <c r="AI170" s="280">
        <f>IF(OR(Inputs!$G$69="No",Inputs!$Q$18="Cost-Based",Inputs!$Q$18="Neither"),0,IF(Inputs!$Q$23="Tax Credit",IF(AI$2&gt;Inputs!$Q$26,0,Inputs!$Q$24/100*AI$9*Inputs!$Q$25*AI$5*(1-MIN(Inputs!$Q$28/Inputs!$G$22,50%))),0))</f>
        <v>0</v>
      </c>
      <c r="AJ170" s="280">
        <f>IF(OR(Inputs!$G$69="No",Inputs!$Q$18="Cost-Based",Inputs!$Q$18="Neither"),0,IF(Inputs!$Q$23="Tax Credit",IF(AJ$2&gt;Inputs!$Q$26,0,Inputs!$Q$24/100*AJ$9*Inputs!$Q$25*AJ$5*(1-MIN(Inputs!$Q$28/Inputs!$G$22,50%))),0))</f>
        <v>0</v>
      </c>
    </row>
    <row r="171" spans="2:36" s="30" customFormat="1" ht="16">
      <c r="B171" s="260"/>
      <c r="C171" s="260"/>
      <c r="D171" s="260"/>
      <c r="E171" s="260"/>
      <c r="F171" s="275"/>
      <c r="G171" s="280"/>
      <c r="H171" s="280"/>
      <c r="I171" s="280"/>
      <c r="J171" s="280"/>
      <c r="K171" s="280"/>
      <c r="L171" s="280"/>
      <c r="M171" s="280"/>
      <c r="N171" s="280"/>
      <c r="O171" s="280"/>
      <c r="P171" s="280"/>
      <c r="Q171" s="280"/>
      <c r="R171" s="280"/>
      <c r="S171" s="280"/>
      <c r="T171" s="280"/>
      <c r="U171" s="280"/>
      <c r="V171" s="280"/>
      <c r="W171" s="280"/>
      <c r="X171" s="280"/>
      <c r="Y171" s="280"/>
      <c r="Z171" s="280"/>
      <c r="AA171" s="280"/>
      <c r="AB171" s="280"/>
      <c r="AC171" s="280"/>
      <c r="AD171" s="280"/>
      <c r="AE171" s="280"/>
      <c r="AF171" s="280"/>
      <c r="AG171" s="280"/>
      <c r="AH171" s="280"/>
      <c r="AI171" s="280"/>
      <c r="AJ171" s="280"/>
    </row>
    <row r="172" spans="2:36" s="30" customFormat="1" ht="16">
      <c r="B172" s="260" t="s">
        <v>251</v>
      </c>
      <c r="C172" s="260"/>
      <c r="D172" s="260"/>
      <c r="E172" s="260"/>
      <c r="F172" s="275"/>
      <c r="G172" s="280">
        <f>SUM(G169:G170)</f>
        <v>0</v>
      </c>
      <c r="H172" s="280">
        <f t="shared" ref="H172:AJ172" si="59">SUM(H169:H170)</f>
        <v>0</v>
      </c>
      <c r="I172" s="280">
        <f t="shared" si="59"/>
        <v>0</v>
      </c>
      <c r="J172" s="280">
        <f t="shared" si="59"/>
        <v>0</v>
      </c>
      <c r="K172" s="280">
        <f t="shared" si="59"/>
        <v>0</v>
      </c>
      <c r="L172" s="280">
        <f t="shared" si="59"/>
        <v>0</v>
      </c>
      <c r="M172" s="280">
        <f t="shared" si="59"/>
        <v>0</v>
      </c>
      <c r="N172" s="280">
        <f t="shared" si="59"/>
        <v>0</v>
      </c>
      <c r="O172" s="280">
        <f t="shared" si="59"/>
        <v>0</v>
      </c>
      <c r="P172" s="280">
        <f t="shared" si="59"/>
        <v>0</v>
      </c>
      <c r="Q172" s="280">
        <f t="shared" si="59"/>
        <v>0</v>
      </c>
      <c r="R172" s="280">
        <f t="shared" si="59"/>
        <v>0</v>
      </c>
      <c r="S172" s="280">
        <f t="shared" si="59"/>
        <v>0</v>
      </c>
      <c r="T172" s="280">
        <f t="shared" si="59"/>
        <v>0</v>
      </c>
      <c r="U172" s="280">
        <f t="shared" si="59"/>
        <v>0</v>
      </c>
      <c r="V172" s="280">
        <f t="shared" si="59"/>
        <v>0</v>
      </c>
      <c r="W172" s="280">
        <f t="shared" si="59"/>
        <v>0</v>
      </c>
      <c r="X172" s="280">
        <f t="shared" si="59"/>
        <v>0</v>
      </c>
      <c r="Y172" s="280">
        <f t="shared" si="59"/>
        <v>0</v>
      </c>
      <c r="Z172" s="280">
        <f t="shared" si="59"/>
        <v>0</v>
      </c>
      <c r="AA172" s="280">
        <f t="shared" si="59"/>
        <v>0</v>
      </c>
      <c r="AB172" s="280">
        <f t="shared" si="59"/>
        <v>0</v>
      </c>
      <c r="AC172" s="280">
        <f t="shared" si="59"/>
        <v>0</v>
      </c>
      <c r="AD172" s="280">
        <f t="shared" si="59"/>
        <v>0</v>
      </c>
      <c r="AE172" s="280">
        <f t="shared" si="59"/>
        <v>0</v>
      </c>
      <c r="AF172" s="280">
        <f t="shared" si="59"/>
        <v>0</v>
      </c>
      <c r="AG172" s="280">
        <f t="shared" si="59"/>
        <v>0</v>
      </c>
      <c r="AH172" s="280">
        <f t="shared" si="59"/>
        <v>0</v>
      </c>
      <c r="AI172" s="280">
        <f t="shared" si="59"/>
        <v>0</v>
      </c>
      <c r="AJ172" s="280">
        <f t="shared" si="59"/>
        <v>0</v>
      </c>
    </row>
    <row r="173" spans="2:36" s="30" customFormat="1" ht="16">
      <c r="B173" s="260"/>
      <c r="C173" s="260"/>
      <c r="D173" s="260"/>
      <c r="E173" s="260"/>
      <c r="F173" s="275"/>
      <c r="G173" s="280"/>
      <c r="H173" s="280"/>
      <c r="I173" s="280"/>
      <c r="J173" s="280"/>
      <c r="K173" s="280"/>
      <c r="L173" s="280"/>
      <c r="M173" s="280"/>
      <c r="N173" s="280"/>
      <c r="O173" s="280"/>
      <c r="P173" s="280"/>
      <c r="Q173" s="280"/>
      <c r="R173" s="280"/>
      <c r="S173" s="280"/>
      <c r="T173" s="280"/>
      <c r="U173" s="280"/>
      <c r="V173" s="280"/>
      <c r="W173" s="280"/>
      <c r="X173" s="280"/>
      <c r="Y173" s="280"/>
      <c r="Z173" s="280"/>
      <c r="AA173" s="280"/>
      <c r="AB173" s="280"/>
      <c r="AC173" s="280"/>
      <c r="AD173" s="280"/>
      <c r="AE173" s="280"/>
      <c r="AF173" s="280"/>
      <c r="AG173" s="280"/>
      <c r="AH173" s="280"/>
      <c r="AI173" s="280"/>
      <c r="AJ173" s="280"/>
    </row>
    <row r="174" spans="2:36" s="30" customFormat="1" ht="16">
      <c r="B174" s="344" t="s">
        <v>252</v>
      </c>
      <c r="C174" s="344"/>
      <c r="D174" s="344"/>
      <c r="E174" s="260"/>
      <c r="F174" s="275"/>
      <c r="G174" s="280"/>
      <c r="H174" s="280"/>
      <c r="I174" s="280"/>
      <c r="J174" s="280"/>
      <c r="K174" s="280"/>
      <c r="L174" s="280"/>
      <c r="M174" s="280"/>
      <c r="N174" s="280"/>
      <c r="O174" s="280"/>
      <c r="P174" s="280"/>
      <c r="Q174" s="280"/>
      <c r="R174" s="280"/>
      <c r="S174" s="280"/>
      <c r="T174" s="280"/>
      <c r="U174" s="280"/>
      <c r="V174" s="280"/>
      <c r="W174" s="280"/>
      <c r="X174" s="280"/>
      <c r="Y174" s="280"/>
      <c r="Z174" s="280"/>
      <c r="AA174" s="280"/>
      <c r="AB174" s="280"/>
      <c r="AC174" s="280"/>
      <c r="AD174" s="280"/>
      <c r="AE174" s="280"/>
      <c r="AF174" s="280"/>
      <c r="AG174" s="280"/>
      <c r="AH174" s="280"/>
      <c r="AI174" s="280"/>
      <c r="AJ174" s="280"/>
    </row>
    <row r="175" spans="2:36" s="30" customFormat="1" ht="16">
      <c r="B175" s="260" t="str">
        <f>B63</f>
        <v>Federal Income Taxes Saved / (Paid), before ITC/PTC</v>
      </c>
      <c r="C175" s="260"/>
      <c r="D175" s="260"/>
      <c r="E175" s="260"/>
      <c r="F175" s="275"/>
      <c r="G175" s="280" t="str">
        <f>IF(Inputs!$G$71="as generated","N/A",'Cash Flow'!G63)</f>
        <v>N/A</v>
      </c>
      <c r="H175" s="280" t="str">
        <f>IF(Inputs!$G$71="as generated","N/A",'Cash Flow'!H63)</f>
        <v>N/A</v>
      </c>
      <c r="I175" s="280" t="str">
        <f>IF(Inputs!$G$71="as generated","N/A",'Cash Flow'!I63)</f>
        <v>N/A</v>
      </c>
      <c r="J175" s="280" t="str">
        <f>IF(Inputs!$G$71="as generated","N/A",'Cash Flow'!J63)</f>
        <v>N/A</v>
      </c>
      <c r="K175" s="280" t="str">
        <f>IF(Inputs!$G$71="as generated","N/A",'Cash Flow'!K63)</f>
        <v>N/A</v>
      </c>
      <c r="L175" s="280" t="str">
        <f>IF(Inputs!$G$71="as generated","N/A",'Cash Flow'!L63)</f>
        <v>N/A</v>
      </c>
      <c r="M175" s="280" t="str">
        <f>IF(Inputs!$G$71="as generated","N/A",'Cash Flow'!M63)</f>
        <v>N/A</v>
      </c>
      <c r="N175" s="280" t="str">
        <f>IF(Inputs!$G$71="as generated","N/A",'Cash Flow'!N63)</f>
        <v>N/A</v>
      </c>
      <c r="O175" s="280" t="str">
        <f>IF(Inputs!$G$71="as generated","N/A",'Cash Flow'!O63)</f>
        <v>N/A</v>
      </c>
      <c r="P175" s="280" t="str">
        <f>IF(Inputs!$G$71="as generated","N/A",'Cash Flow'!P63)</f>
        <v>N/A</v>
      </c>
      <c r="Q175" s="280" t="str">
        <f>IF(Inputs!$G$71="as generated","N/A",'Cash Flow'!Q63)</f>
        <v>N/A</v>
      </c>
      <c r="R175" s="280" t="str">
        <f>IF(Inputs!$G$71="as generated","N/A",'Cash Flow'!R63)</f>
        <v>N/A</v>
      </c>
      <c r="S175" s="280" t="str">
        <f>IF(Inputs!$G$71="as generated","N/A",'Cash Flow'!S63)</f>
        <v>N/A</v>
      </c>
      <c r="T175" s="280" t="str">
        <f>IF(Inputs!$G$71="as generated","N/A",'Cash Flow'!T63)</f>
        <v>N/A</v>
      </c>
      <c r="U175" s="280" t="str">
        <f>IF(Inputs!$G$71="as generated","N/A",'Cash Flow'!U63)</f>
        <v>N/A</v>
      </c>
      <c r="V175" s="280" t="str">
        <f>IF(Inputs!$G$71="as generated","N/A",'Cash Flow'!V63)</f>
        <v>N/A</v>
      </c>
      <c r="W175" s="280" t="str">
        <f>IF(Inputs!$G$71="as generated","N/A",'Cash Flow'!W63)</f>
        <v>N/A</v>
      </c>
      <c r="X175" s="280" t="str">
        <f>IF(Inputs!$G$71="as generated","N/A",'Cash Flow'!X63)</f>
        <v>N/A</v>
      </c>
      <c r="Y175" s="280" t="str">
        <f>IF(Inputs!$G$71="as generated","N/A",'Cash Flow'!Y63)</f>
        <v>N/A</v>
      </c>
      <c r="Z175" s="280" t="str">
        <f>IF(Inputs!$G$71="as generated","N/A",'Cash Flow'!Z63)</f>
        <v>N/A</v>
      </c>
      <c r="AA175" s="280" t="str">
        <f>IF(Inputs!$G$71="as generated","N/A",'Cash Flow'!AA63)</f>
        <v>N/A</v>
      </c>
      <c r="AB175" s="280" t="str">
        <f>IF(Inputs!$G$71="as generated","N/A",'Cash Flow'!AB63)</f>
        <v>N/A</v>
      </c>
      <c r="AC175" s="280" t="str">
        <f>IF(Inputs!$G$71="as generated","N/A",'Cash Flow'!AC63)</f>
        <v>N/A</v>
      </c>
      <c r="AD175" s="280" t="str">
        <f>IF(Inputs!$G$71="as generated","N/A",'Cash Flow'!AD63)</f>
        <v>N/A</v>
      </c>
      <c r="AE175" s="280" t="str">
        <f>IF(Inputs!$G$71="as generated","N/A",'Cash Flow'!AE63)</f>
        <v>N/A</v>
      </c>
      <c r="AF175" s="280" t="str">
        <f>IF(Inputs!$G$71="as generated","N/A",'Cash Flow'!AF63)</f>
        <v>N/A</v>
      </c>
      <c r="AG175" s="280" t="str">
        <f>IF(Inputs!$G$71="as generated","N/A",'Cash Flow'!AG63)</f>
        <v>N/A</v>
      </c>
      <c r="AH175" s="280" t="str">
        <f>IF(Inputs!$G$71="as generated","N/A",'Cash Flow'!AH63)</f>
        <v>N/A</v>
      </c>
      <c r="AI175" s="280" t="str">
        <f>IF(Inputs!$G$71="as generated","N/A",'Cash Flow'!AI63)</f>
        <v>N/A</v>
      </c>
      <c r="AJ175" s="280" t="str">
        <f>IF(Inputs!$G$71="as generated","N/A",'Cash Flow'!AJ63)</f>
        <v>N/A</v>
      </c>
    </row>
    <row r="176" spans="2:36" s="30" customFormat="1" ht="16">
      <c r="B176" s="260"/>
      <c r="C176" s="260"/>
      <c r="D176" s="260"/>
      <c r="E176" s="260"/>
      <c r="F176" s="275"/>
      <c r="G176" s="280"/>
      <c r="H176" s="280"/>
      <c r="I176" s="280"/>
      <c r="J176" s="280"/>
      <c r="K176" s="280"/>
      <c r="L176" s="280"/>
      <c r="M176" s="280"/>
      <c r="N176" s="280"/>
      <c r="O176" s="280"/>
      <c r="P176" s="280"/>
      <c r="Q176" s="280"/>
      <c r="R176" s="280"/>
      <c r="S176" s="280"/>
      <c r="T176" s="280"/>
      <c r="U176" s="280"/>
      <c r="V176" s="280"/>
      <c r="W176" s="280"/>
      <c r="X176" s="280"/>
      <c r="Y176" s="280"/>
      <c r="Z176" s="280"/>
      <c r="AA176" s="280"/>
      <c r="AB176" s="280"/>
      <c r="AC176" s="280"/>
      <c r="AD176" s="280"/>
      <c r="AE176" s="280"/>
      <c r="AF176" s="280"/>
      <c r="AG176" s="280"/>
      <c r="AH176" s="280"/>
      <c r="AI176" s="280"/>
      <c r="AJ176" s="280"/>
    </row>
    <row r="177" spans="2:36" s="30" customFormat="1" ht="16">
      <c r="B177" s="260" t="s">
        <v>290</v>
      </c>
      <c r="C177" s="260"/>
      <c r="D177" s="260"/>
      <c r="E177" s="260"/>
      <c r="F177" s="275"/>
      <c r="G177" s="280">
        <v>0</v>
      </c>
      <c r="H177" s="280">
        <f>IF(Inputs!$G$71="as generated",0,G180)</f>
        <v>0</v>
      </c>
      <c r="I177" s="280">
        <f>IF(Inputs!$G$71="as generated",0,H180)</f>
        <v>0</v>
      </c>
      <c r="J177" s="280">
        <f>IF(Inputs!$G$71="as generated",0,I180)</f>
        <v>0</v>
      </c>
      <c r="K177" s="280">
        <f>IF(Inputs!$G$71="as generated",0,J180)</f>
        <v>0</v>
      </c>
      <c r="L177" s="280">
        <f>IF(Inputs!$G$71="as generated",0,K180)</f>
        <v>0</v>
      </c>
      <c r="M177" s="280">
        <f>IF(Inputs!$G$71="as generated",0,L180)</f>
        <v>0</v>
      </c>
      <c r="N177" s="280">
        <f>IF(Inputs!$G$71="as generated",0,M180)</f>
        <v>0</v>
      </c>
      <c r="O177" s="280">
        <f>IF(Inputs!$G$71="as generated",0,N180)</f>
        <v>0</v>
      </c>
      <c r="P177" s="280">
        <f>IF(Inputs!$G$71="as generated",0,O180)</f>
        <v>0</v>
      </c>
      <c r="Q177" s="280">
        <f>IF(Inputs!$G$71="as generated",0,P180)</f>
        <v>0</v>
      </c>
      <c r="R177" s="280">
        <f>IF(Inputs!$G$71="as generated",0,Q180)</f>
        <v>0</v>
      </c>
      <c r="S177" s="280">
        <f>IF(Inputs!$G$71="as generated",0,R180)</f>
        <v>0</v>
      </c>
      <c r="T177" s="280">
        <f>IF(Inputs!$G$71="as generated",0,S180)</f>
        <v>0</v>
      </c>
      <c r="U177" s="280">
        <f>IF(Inputs!$G$71="as generated",0,T180)</f>
        <v>0</v>
      </c>
      <c r="V177" s="280">
        <f>IF(Inputs!$G$71="as generated",0,U180)</f>
        <v>0</v>
      </c>
      <c r="W177" s="280">
        <f>IF(Inputs!$G$71="as generated",0,V180)</f>
        <v>0</v>
      </c>
      <c r="X177" s="280">
        <f>IF(Inputs!$G$71="as generated",0,W180)</f>
        <v>0</v>
      </c>
      <c r="Y177" s="280">
        <f>IF(Inputs!$G$71="as generated",0,X180)</f>
        <v>0</v>
      </c>
      <c r="Z177" s="280">
        <f>IF(Inputs!$G$71="as generated",0,Y180)</f>
        <v>0</v>
      </c>
      <c r="AA177" s="280">
        <f>IF(Inputs!$G$71="as generated",0,Z180)</f>
        <v>0</v>
      </c>
      <c r="AB177" s="280">
        <f>IF(Inputs!$G$71="as generated",0,AA180)</f>
        <v>0</v>
      </c>
      <c r="AC177" s="280">
        <f>IF(Inputs!$G$71="as generated",0,AB180)</f>
        <v>0</v>
      </c>
      <c r="AD177" s="280">
        <f>IF(Inputs!$G$71="as generated",0,AC180)</f>
        <v>0</v>
      </c>
      <c r="AE177" s="280">
        <f>IF(Inputs!$G$71="as generated",0,AD180)</f>
        <v>0</v>
      </c>
      <c r="AF177" s="280">
        <f>IF(Inputs!$G$71="as generated",0,AE180)</f>
        <v>0</v>
      </c>
      <c r="AG177" s="280">
        <f>IF(Inputs!$G$71="as generated",0,AF180)</f>
        <v>0</v>
      </c>
      <c r="AH177" s="280">
        <f>IF(Inputs!$G$71="as generated",0,AG180)</f>
        <v>0</v>
      </c>
      <c r="AI177" s="280">
        <f>IF(Inputs!$G$71="as generated",0,AH180)</f>
        <v>0</v>
      </c>
      <c r="AJ177" s="280">
        <f>IF(Inputs!$G$71="as generated",0,AI180)</f>
        <v>0</v>
      </c>
    </row>
    <row r="178" spans="2:36" s="30" customFormat="1" ht="16">
      <c r="B178" s="260" t="s">
        <v>291</v>
      </c>
      <c r="C178" s="260"/>
      <c r="D178" s="260"/>
      <c r="E178" s="260"/>
      <c r="F178" s="275"/>
      <c r="G178" s="280">
        <f>IF(Inputs!$G$71="as generated",0,IF(G175&lt;=0,G172,0))</f>
        <v>0</v>
      </c>
      <c r="H178" s="280">
        <f>IF(Inputs!$G$71="as generated",0,IF(H175&lt;=0,H172,0))</f>
        <v>0</v>
      </c>
      <c r="I178" s="280">
        <f>IF(Inputs!$G$71="as generated",0,IF(I175&lt;=0,I172,0))</f>
        <v>0</v>
      </c>
      <c r="J178" s="280">
        <f>IF(Inputs!$G$71="as generated",0,IF(J175&lt;=0,J172,0))</f>
        <v>0</v>
      </c>
      <c r="K178" s="280">
        <f>IF(Inputs!$G$71="as generated",0,IF(K175&lt;=0,K172,0))</f>
        <v>0</v>
      </c>
      <c r="L178" s="280">
        <f>IF(Inputs!$G$71="as generated",0,IF(L175&lt;=0,L172,0))</f>
        <v>0</v>
      </c>
      <c r="M178" s="280">
        <f>IF(Inputs!$G$71="as generated",0,IF(M175&lt;=0,M172,0))</f>
        <v>0</v>
      </c>
      <c r="N178" s="280">
        <f>IF(Inputs!$G$71="as generated",0,IF(N175&lt;=0,N172,0))</f>
        <v>0</v>
      </c>
      <c r="O178" s="280">
        <f>IF(Inputs!$G$71="as generated",0,IF(O175&lt;=0,O172,0))</f>
        <v>0</v>
      </c>
      <c r="P178" s="280">
        <f>IF(Inputs!$G$71="as generated",0,IF(P175&lt;=0,P172,0))</f>
        <v>0</v>
      </c>
      <c r="Q178" s="280">
        <f>IF(Inputs!$G$71="as generated",0,IF(Q175&lt;=0,Q172,0))</f>
        <v>0</v>
      </c>
      <c r="R178" s="280">
        <f>IF(Inputs!$G$71="as generated",0,IF(R175&lt;=0,R172,0))</f>
        <v>0</v>
      </c>
      <c r="S178" s="280">
        <f>IF(Inputs!$G$71="as generated",0,IF(S175&lt;=0,S172,0))</f>
        <v>0</v>
      </c>
      <c r="T178" s="280">
        <f>IF(Inputs!$G$71="as generated",0,IF(T175&lt;=0,T172,0))</f>
        <v>0</v>
      </c>
      <c r="U178" s="280">
        <f>IF(Inputs!$G$71="as generated",0,IF(U175&lt;=0,U172,0))</f>
        <v>0</v>
      </c>
      <c r="V178" s="280">
        <f>IF(Inputs!$G$71="as generated",0,IF(V175&lt;=0,V172,0))</f>
        <v>0</v>
      </c>
      <c r="W178" s="280">
        <f>IF(Inputs!$G$71="as generated",0,IF(W175&lt;=0,W172,0))</f>
        <v>0</v>
      </c>
      <c r="X178" s="280">
        <f>IF(Inputs!$G$71="as generated",0,IF(X175&lt;=0,X172,0))</f>
        <v>0</v>
      </c>
      <c r="Y178" s="280">
        <f>IF(Inputs!$G$71="as generated",0,IF(Y175&lt;=0,Y172,0))</f>
        <v>0</v>
      </c>
      <c r="Z178" s="280">
        <f>IF(Inputs!$G$71="as generated",0,IF(Z175&lt;=0,Z172,0))</f>
        <v>0</v>
      </c>
      <c r="AA178" s="280">
        <f>IF(Inputs!$G$71="as generated",0,IF(AA175&lt;=0,AA172,0))</f>
        <v>0</v>
      </c>
      <c r="AB178" s="280">
        <f>IF(Inputs!$G$71="as generated",0,IF(AB175&lt;=0,AB172,0))</f>
        <v>0</v>
      </c>
      <c r="AC178" s="280">
        <f>IF(Inputs!$G$71="as generated",0,IF(AC175&lt;=0,AC172,0))</f>
        <v>0</v>
      </c>
      <c r="AD178" s="280">
        <f>IF(Inputs!$G$71="as generated",0,IF(AD175&lt;=0,AD172,0))</f>
        <v>0</v>
      </c>
      <c r="AE178" s="280">
        <f>IF(Inputs!$G$71="as generated",0,IF(AE175&lt;=0,AE172,0))</f>
        <v>0</v>
      </c>
      <c r="AF178" s="280">
        <f>IF(Inputs!$G$71="as generated",0,IF(AF175&lt;=0,AF172,0))</f>
        <v>0</v>
      </c>
      <c r="AG178" s="280">
        <f>IF(Inputs!$G$71="as generated",0,IF(AG175&lt;=0,AG172,0))</f>
        <v>0</v>
      </c>
      <c r="AH178" s="280">
        <f>IF(Inputs!$G$71="as generated",0,IF(AH175&lt;=0,AH172,0))</f>
        <v>0</v>
      </c>
      <c r="AI178" s="280">
        <f>IF(Inputs!$G$71="as generated",0,IF(AI175&lt;=0,AI172,0))</f>
        <v>0</v>
      </c>
      <c r="AJ178" s="280">
        <f>IF(Inputs!$G$71="as generated",0,IF(AJ175&lt;=0,AJ172,0))</f>
        <v>0</v>
      </c>
    </row>
    <row r="179" spans="2:36" s="30" customFormat="1" ht="16">
      <c r="B179" s="260" t="s">
        <v>292</v>
      </c>
      <c r="C179" s="260"/>
      <c r="D179" s="260"/>
      <c r="E179" s="260"/>
      <c r="F179" s="275"/>
      <c r="G179" s="280">
        <f>IF(Inputs!$G$71="as generated",0,IF(G$175&lt;0,MAX(G$175,-G$178),0))</f>
        <v>0</v>
      </c>
      <c r="H179" s="280">
        <f>IF(Inputs!$G$71="as generated",0,IF(H$175&lt;0,MAX(H$175,-G$180),0))</f>
        <v>0</v>
      </c>
      <c r="I179" s="280">
        <f>IF(Inputs!$G$71="as generated",0,IF(I$175&lt;0,MAX(I$175,-H$180),0))</f>
        <v>0</v>
      </c>
      <c r="J179" s="280">
        <f>IF(Inputs!$G$71="as generated",0,IF(J$175&lt;0,MAX(J$175,-I$180),0))</f>
        <v>0</v>
      </c>
      <c r="K179" s="280">
        <f>IF(Inputs!$G$71="as generated",0,IF(K$175&lt;0,MAX(K$175,-J$180),0))</f>
        <v>0</v>
      </c>
      <c r="L179" s="280">
        <f>IF(Inputs!$G$71="as generated",0,IF(L$175&lt;0,MAX(L$175,-K$180),0))</f>
        <v>0</v>
      </c>
      <c r="M179" s="280">
        <f>IF(Inputs!$G$71="as generated",0,IF(M$175&lt;0,MAX(M$175,-L$180),0))</f>
        <v>0</v>
      </c>
      <c r="N179" s="280">
        <f>IF(Inputs!$G$71="as generated",0,IF(N$175&lt;0,MAX(N$175,-M$180),0))</f>
        <v>0</v>
      </c>
      <c r="O179" s="280">
        <f>IF(Inputs!$G$71="as generated",0,IF(O$175&lt;0,MAX(O$175,-N$180),0))</f>
        <v>0</v>
      </c>
      <c r="P179" s="280">
        <f>IF(Inputs!$G$71="as generated",0,IF(P$175&lt;0,MAX(P$175,-O$180),0))</f>
        <v>0</v>
      </c>
      <c r="Q179" s="280">
        <f>IF(Inputs!$G$71="as generated",0,IF(Q$175&lt;0,MAX(Q$175,-P$180),0))</f>
        <v>0</v>
      </c>
      <c r="R179" s="280">
        <f>IF(Inputs!$G$71="as generated",0,IF(R$175&lt;0,MAX(R$175,-Q$180),0))</f>
        <v>0</v>
      </c>
      <c r="S179" s="280">
        <f>IF(Inputs!$G$71="as generated",0,IF(S$175&lt;0,MAX(S$175,-R$180),0))</f>
        <v>0</v>
      </c>
      <c r="T179" s="280">
        <f>IF(Inputs!$G$71="as generated",0,IF(T$175&lt;0,MAX(T$175,-S$180),0))</f>
        <v>0</v>
      </c>
      <c r="U179" s="280">
        <f>IF(Inputs!$G$71="as generated",0,IF(U$175&lt;0,MAX(U$175,-T$180),0))</f>
        <v>0</v>
      </c>
      <c r="V179" s="280">
        <f>IF(Inputs!$G$71="as generated",0,IF(V$175&lt;0,MAX(V$175,-U$180),0))</f>
        <v>0</v>
      </c>
      <c r="W179" s="280">
        <f>IF(Inputs!$G$71="as generated",0,IF(W$175&lt;0,MAX(W$175,-V$180),0))</f>
        <v>0</v>
      </c>
      <c r="X179" s="280">
        <f>IF(Inputs!$G$71="as generated",0,IF(X$175&lt;0,MAX(X$175,-W$180),0))</f>
        <v>0</v>
      </c>
      <c r="Y179" s="280">
        <f>IF(Inputs!$G$71="as generated",0,IF(Y$175&lt;0,MAX(Y$175,-X$180),0))</f>
        <v>0</v>
      </c>
      <c r="Z179" s="280">
        <f>IF(Inputs!$G$71="as generated",0,IF(Z$175&lt;0,MAX(Z$175,-Y$180),0))</f>
        <v>0</v>
      </c>
      <c r="AA179" s="280">
        <f>IF(Inputs!$G$71="as generated",0,IF(AA$175&lt;0,MAX(AA$175,-Z$180),0))</f>
        <v>0</v>
      </c>
      <c r="AB179" s="280">
        <f>IF(Inputs!$G$71="as generated",0,IF(AB$175&lt;0,MAX(AB$175,-AA$180),0))</f>
        <v>0</v>
      </c>
      <c r="AC179" s="280">
        <f>IF(Inputs!$G$71="as generated",0,IF(AC$175&lt;0,MAX(AC$175,-AB$180),0))</f>
        <v>0</v>
      </c>
      <c r="AD179" s="280">
        <f>IF(Inputs!$G$71="as generated",0,IF(AD$175&lt;0,MAX(AD$175,-AC$180),0))</f>
        <v>0</v>
      </c>
      <c r="AE179" s="280">
        <f>IF(Inputs!$G$71="as generated",0,IF(AE$175&lt;0,MAX(AE$175,-AD$180),0))</f>
        <v>0</v>
      </c>
      <c r="AF179" s="280">
        <f>IF(Inputs!$G$71="as generated",0,IF(AF$175&lt;0,MAX(AF$175,-AE$180),0))</f>
        <v>0</v>
      </c>
      <c r="AG179" s="280">
        <f>IF(Inputs!$G$71="as generated",0,IF(AG$175&lt;0,MAX(AG$175,-AF$180),0))</f>
        <v>0</v>
      </c>
      <c r="AH179" s="280">
        <f>IF(Inputs!$G$71="as generated",0,IF(AH$175&lt;0,MAX(AH$175,-AG$180),0))</f>
        <v>0</v>
      </c>
      <c r="AI179" s="280">
        <f>IF(Inputs!$G$71="as generated",0,IF(AI$175&lt;0,MAX(AI$175,-AH$180),0))</f>
        <v>0</v>
      </c>
      <c r="AJ179" s="280">
        <f>IF(Inputs!$G$71="as generated",0,IF(AJ$175&lt;0,MAX(AJ$175,-AI$180),0))</f>
        <v>0</v>
      </c>
    </row>
    <row r="180" spans="2:36" s="30" customFormat="1" ht="16">
      <c r="B180" s="260" t="s">
        <v>293</v>
      </c>
      <c r="C180" s="260"/>
      <c r="D180" s="260"/>
      <c r="E180" s="260"/>
      <c r="F180" s="280">
        <v>0</v>
      </c>
      <c r="G180" s="280">
        <f>SUM(G177:G179)</f>
        <v>0</v>
      </c>
      <c r="H180" s="280">
        <f t="shared" ref="H180:AJ180" si="60">SUM(H177:H179)</f>
        <v>0</v>
      </c>
      <c r="I180" s="280">
        <f t="shared" si="60"/>
        <v>0</v>
      </c>
      <c r="J180" s="280">
        <f t="shared" si="60"/>
        <v>0</v>
      </c>
      <c r="K180" s="280">
        <f t="shared" si="60"/>
        <v>0</v>
      </c>
      <c r="L180" s="280">
        <f t="shared" si="60"/>
        <v>0</v>
      </c>
      <c r="M180" s="280">
        <f t="shared" si="60"/>
        <v>0</v>
      </c>
      <c r="N180" s="280">
        <f t="shared" si="60"/>
        <v>0</v>
      </c>
      <c r="O180" s="280">
        <f t="shared" si="60"/>
        <v>0</v>
      </c>
      <c r="P180" s="280">
        <f t="shared" si="60"/>
        <v>0</v>
      </c>
      <c r="Q180" s="280">
        <f t="shared" si="60"/>
        <v>0</v>
      </c>
      <c r="R180" s="280">
        <f t="shared" si="60"/>
        <v>0</v>
      </c>
      <c r="S180" s="280">
        <f t="shared" si="60"/>
        <v>0</v>
      </c>
      <c r="T180" s="280">
        <f t="shared" si="60"/>
        <v>0</v>
      </c>
      <c r="U180" s="280">
        <f t="shared" si="60"/>
        <v>0</v>
      </c>
      <c r="V180" s="280">
        <f t="shared" si="60"/>
        <v>0</v>
      </c>
      <c r="W180" s="280">
        <f t="shared" si="60"/>
        <v>0</v>
      </c>
      <c r="X180" s="280">
        <f t="shared" si="60"/>
        <v>0</v>
      </c>
      <c r="Y180" s="280">
        <f t="shared" si="60"/>
        <v>0</v>
      </c>
      <c r="Z180" s="280">
        <f t="shared" si="60"/>
        <v>0</v>
      </c>
      <c r="AA180" s="280">
        <f t="shared" si="60"/>
        <v>0</v>
      </c>
      <c r="AB180" s="280">
        <f t="shared" si="60"/>
        <v>0</v>
      </c>
      <c r="AC180" s="280">
        <f t="shared" si="60"/>
        <v>0</v>
      </c>
      <c r="AD180" s="280">
        <f t="shared" si="60"/>
        <v>0</v>
      </c>
      <c r="AE180" s="280">
        <f t="shared" si="60"/>
        <v>0</v>
      </c>
      <c r="AF180" s="280">
        <f t="shared" si="60"/>
        <v>0</v>
      </c>
      <c r="AG180" s="280">
        <f t="shared" si="60"/>
        <v>0</v>
      </c>
      <c r="AH180" s="280">
        <f t="shared" si="60"/>
        <v>0</v>
      </c>
      <c r="AI180" s="280">
        <f t="shared" si="60"/>
        <v>0</v>
      </c>
      <c r="AJ180" s="280">
        <f t="shared" si="60"/>
        <v>0</v>
      </c>
    </row>
    <row r="181" spans="2:36" s="30" customFormat="1" ht="16">
      <c r="B181" s="260"/>
      <c r="C181" s="260"/>
      <c r="D181" s="260"/>
      <c r="E181" s="260"/>
      <c r="F181" s="275"/>
      <c r="G181" s="275"/>
      <c r="H181" s="286"/>
      <c r="I181" s="260"/>
      <c r="J181" s="260"/>
      <c r="K181" s="260"/>
      <c r="L181" s="260"/>
      <c r="M181" s="260"/>
      <c r="N181" s="260"/>
      <c r="O181" s="260"/>
      <c r="P181" s="260"/>
      <c r="Q181" s="260"/>
      <c r="R181" s="260"/>
      <c r="S181" s="260"/>
      <c r="T181" s="260"/>
      <c r="U181" s="260"/>
      <c r="V181" s="260"/>
      <c r="W181" s="260"/>
      <c r="X181" s="260"/>
      <c r="Y181" s="260"/>
      <c r="Z181" s="260"/>
      <c r="AA181" s="260"/>
      <c r="AB181" s="260"/>
      <c r="AC181" s="260"/>
      <c r="AD181" s="260"/>
      <c r="AE181" s="260"/>
      <c r="AF181" s="260"/>
      <c r="AG181" s="260"/>
      <c r="AH181" s="260"/>
      <c r="AI181" s="260"/>
      <c r="AJ181" s="260"/>
    </row>
    <row r="182" spans="2:36" s="30" customFormat="1" ht="16">
      <c r="B182" s="259" t="s">
        <v>253</v>
      </c>
      <c r="C182" s="259"/>
      <c r="D182" s="259"/>
      <c r="E182" s="260"/>
      <c r="F182" s="275"/>
      <c r="G182" s="285"/>
      <c r="H182" s="286"/>
      <c r="I182" s="260"/>
      <c r="J182" s="260"/>
      <c r="K182" s="260"/>
      <c r="L182" s="260"/>
      <c r="M182" s="260"/>
      <c r="N182" s="260"/>
      <c r="O182" s="260"/>
      <c r="P182" s="260"/>
      <c r="Q182" s="260"/>
      <c r="R182" s="260"/>
      <c r="S182" s="260"/>
      <c r="T182" s="260"/>
      <c r="U182" s="260"/>
      <c r="V182" s="260"/>
      <c r="W182" s="260"/>
      <c r="X182" s="260"/>
      <c r="Y182" s="260"/>
      <c r="Z182" s="260"/>
      <c r="AA182" s="260"/>
      <c r="AB182" s="260"/>
      <c r="AC182" s="260"/>
      <c r="AD182" s="260"/>
      <c r="AE182" s="260"/>
      <c r="AF182" s="260"/>
      <c r="AG182" s="260"/>
      <c r="AH182" s="260"/>
      <c r="AI182" s="260"/>
      <c r="AJ182" s="260"/>
    </row>
    <row r="183" spans="2:36" s="30" customFormat="1" ht="16">
      <c r="B183" s="260" t="s">
        <v>250</v>
      </c>
      <c r="C183" s="260"/>
      <c r="D183" s="260"/>
      <c r="E183" s="260"/>
      <c r="F183" s="275"/>
      <c r="G183" s="343">
        <f>IF(OR(Inputs!$G$69="No",Inputs!$Q$32="Performance-Based",Inputs!$Q$32="Neither"),0,IF(G$2&lt;=Inputs!$Q$35,($C$99*(Inputs!$Q$33*(1-Inputs!$G$70))*Inputs!$Q$34)/Inputs!$Q$35,0))</f>
        <v>0</v>
      </c>
      <c r="H183" s="343">
        <f>IF(OR(Inputs!$G$69="No",Inputs!$Q$32="Performance-Based",Inputs!$Q$32="Neither"),0,IF(H$2&lt;=Inputs!$Q$35,($C$99*(Inputs!$Q$33*(1-Inputs!$G$70))*Inputs!$Q$34)/Inputs!$Q$35,0))</f>
        <v>0</v>
      </c>
      <c r="I183" s="343">
        <f>IF(OR(Inputs!$G$69="No",Inputs!$Q$32="Performance-Based",Inputs!$Q$32="Neither"),0,IF(I$2&lt;=Inputs!$Q$35,($C$99*(Inputs!$Q$33*(1-Inputs!$G$70))*Inputs!$Q$34)/Inputs!$Q$35,0))</f>
        <v>0</v>
      </c>
      <c r="J183" s="343">
        <f>IF(OR(Inputs!$G$69="No",Inputs!$Q$32="Performance-Based",Inputs!$Q$32="Neither"),0,IF(J$2&lt;=Inputs!$Q$35,($C$99*(Inputs!$Q$33*(1-Inputs!$G$70))*Inputs!$Q$34)/Inputs!$Q$35,0))</f>
        <v>0</v>
      </c>
      <c r="K183" s="343">
        <f>IF(OR(Inputs!$G$69="No",Inputs!$Q$32="Performance-Based",Inputs!$Q$32="Neither"),0,IF(K$2&lt;=Inputs!$Q$35,($C$99*(Inputs!$Q$33*(1-Inputs!$G$70))*Inputs!$Q$34)/Inputs!$Q$35,0))</f>
        <v>0</v>
      </c>
      <c r="L183" s="343">
        <f>IF(OR(Inputs!$G$69="No",Inputs!$Q$32="Performance-Based",Inputs!$Q$32="Neither"),0,IF(L$2&lt;=Inputs!$Q$35,($C$99*(Inputs!$Q$33*(1-Inputs!$G$70))*Inputs!$Q$34)/Inputs!$Q$35,0))</f>
        <v>0</v>
      </c>
      <c r="M183" s="343">
        <f>IF(OR(Inputs!$G$69="No",Inputs!$Q$32="Performance-Based",Inputs!$Q$32="Neither"),0,IF(M$2&lt;=Inputs!$Q$35,($C$99*(Inputs!$Q$33*(1-Inputs!$G$70))*Inputs!$Q$34)/Inputs!$Q$35,0))</f>
        <v>0</v>
      </c>
      <c r="N183" s="343">
        <f>IF(OR(Inputs!$G$69="No",Inputs!$Q$32="Performance-Based",Inputs!$Q$32="Neither"),0,IF(N$2&lt;=Inputs!$Q$35,($C$99*(Inputs!$Q$33*(1-Inputs!$G$70))*Inputs!$Q$34)/Inputs!$Q$35,0))</f>
        <v>0</v>
      </c>
      <c r="O183" s="343">
        <f>IF(OR(Inputs!$G$69="No",Inputs!$Q$32="Performance-Based",Inputs!$Q$32="Neither"),0,IF(O$2&lt;=Inputs!$Q$35,($C$99*(Inputs!$Q$33*(1-Inputs!$G$70))*Inputs!$Q$34)/Inputs!$Q$35,0))</f>
        <v>0</v>
      </c>
      <c r="P183" s="343">
        <f>IF(OR(Inputs!$G$69="No",Inputs!$Q$32="Performance-Based",Inputs!$Q$32="Neither"),0,IF(P$2&lt;=Inputs!$Q$35,($C$99*(Inputs!$Q$33*(1-Inputs!$G$70))*Inputs!$Q$34)/Inputs!$Q$35,0))</f>
        <v>0</v>
      </c>
      <c r="Q183" s="343">
        <f>IF(OR(Inputs!$G$69="No",Inputs!$Q$32="Performance-Based",Inputs!$Q$32="Neither"),0,IF(Q$2&lt;=Inputs!$Q$35,($C$99*(Inputs!$Q$33*(1-Inputs!$G$70))*Inputs!$Q$34)/Inputs!$Q$35,0))</f>
        <v>0</v>
      </c>
      <c r="R183" s="343">
        <f>IF(OR(Inputs!$G$69="No",Inputs!$Q$32="Performance-Based",Inputs!$Q$32="Neither"),0,IF(R$2&lt;=Inputs!$Q$35,($C$99*(Inputs!$Q$33*(1-Inputs!$G$70))*Inputs!$Q$34)/Inputs!$Q$35,0))</f>
        <v>0</v>
      </c>
      <c r="S183" s="343">
        <f>IF(OR(Inputs!$G$69="No",Inputs!$Q$32="Performance-Based",Inputs!$Q$32="Neither"),0,IF(S$2&lt;=Inputs!$Q$35,($C$99*(Inputs!$Q$33*(1-Inputs!$G$70))*Inputs!$Q$34)/Inputs!$Q$35,0))</f>
        <v>0</v>
      </c>
      <c r="T183" s="343">
        <f>IF(OR(Inputs!$G$69="No",Inputs!$Q$32="Performance-Based",Inputs!$Q$32="Neither"),0,IF(T$2&lt;=Inputs!$Q$35,($C$99*(Inputs!$Q$33*(1-Inputs!$G$70))*Inputs!$Q$34)/Inputs!$Q$35,0))</f>
        <v>0</v>
      </c>
      <c r="U183" s="343">
        <f>IF(OR(Inputs!$G$69="No",Inputs!$Q$32="Performance-Based",Inputs!$Q$32="Neither"),0,IF(U$2&lt;=Inputs!$Q$35,($C$99*(Inputs!$Q$33*(1-Inputs!$G$70))*Inputs!$Q$34)/Inputs!$Q$35,0))</f>
        <v>0</v>
      </c>
      <c r="V183" s="343">
        <f>IF(OR(Inputs!$G$69="No",Inputs!$Q$32="Performance-Based",Inputs!$Q$32="Neither"),0,IF(V$2&lt;=Inputs!$Q$35,($C$99*(Inputs!$Q$33*(1-Inputs!$G$70))*Inputs!$Q$34)/Inputs!$Q$35,0))</f>
        <v>0</v>
      </c>
      <c r="W183" s="343">
        <f>IF(OR(Inputs!$G$69="No",Inputs!$Q$32="Performance-Based",Inputs!$Q$32="Neither"),0,IF(W$2&lt;=Inputs!$Q$35,($C$99*(Inputs!$Q$33*(1-Inputs!$G$70))*Inputs!$Q$34)/Inputs!$Q$35,0))</f>
        <v>0</v>
      </c>
      <c r="X183" s="343">
        <f>IF(OR(Inputs!$G$69="No",Inputs!$Q$32="Performance-Based",Inputs!$Q$32="Neither"),0,IF(X$2&lt;=Inputs!$Q$35,($C$99*(Inputs!$Q$33*(1-Inputs!$G$70))*Inputs!$Q$34)/Inputs!$Q$35,0))</f>
        <v>0</v>
      </c>
      <c r="Y183" s="343">
        <f>IF(OR(Inputs!$G$69="No",Inputs!$Q$32="Performance-Based",Inputs!$Q$32="Neither"),0,IF(Y$2&lt;=Inputs!$Q$35,($C$99*(Inputs!$Q$33*(1-Inputs!$G$70))*Inputs!$Q$34)/Inputs!$Q$35,0))</f>
        <v>0</v>
      </c>
      <c r="Z183" s="343">
        <f>IF(OR(Inputs!$G$69="No",Inputs!$Q$32="Performance-Based",Inputs!$Q$32="Neither"),0,IF(Z$2&lt;=Inputs!$Q$35,($C$99*(Inputs!$Q$33*(1-Inputs!$G$70))*Inputs!$Q$34)/Inputs!$Q$35,0))</f>
        <v>0</v>
      </c>
      <c r="AA183" s="343">
        <f>IF(OR(Inputs!$G$69="No",Inputs!$Q$32="Performance-Based",Inputs!$Q$32="Neither"),0,IF(AA$2&lt;=Inputs!$Q$35,($C$99*(Inputs!$Q$33*(1-Inputs!$G$70))*Inputs!$Q$34)/Inputs!$Q$35,0))</f>
        <v>0</v>
      </c>
      <c r="AB183" s="343">
        <f>IF(OR(Inputs!$G$69="No",Inputs!$Q$32="Performance-Based",Inputs!$Q$32="Neither"),0,IF(AB$2&lt;=Inputs!$Q$35,($C$99*(Inputs!$Q$33*(1-Inputs!$G$70))*Inputs!$Q$34)/Inputs!$Q$35,0))</f>
        <v>0</v>
      </c>
      <c r="AC183" s="343">
        <f>IF(OR(Inputs!$G$69="No",Inputs!$Q$32="Performance-Based",Inputs!$Q$32="Neither"),0,IF(AC$2&lt;=Inputs!$Q$35,($C$99*(Inputs!$Q$33*(1-Inputs!$G$70))*Inputs!$Q$34)/Inputs!$Q$35,0))</f>
        <v>0</v>
      </c>
      <c r="AD183" s="343">
        <f>IF(OR(Inputs!$G$69="No",Inputs!$Q$32="Performance-Based",Inputs!$Q$32="Neither"),0,IF(AD$2&lt;=Inputs!$Q$35,($C$99*(Inputs!$Q$33*(1-Inputs!$G$70))*Inputs!$Q$34)/Inputs!$Q$35,0))</f>
        <v>0</v>
      </c>
      <c r="AE183" s="343">
        <f>IF(OR(Inputs!$G$69="No",Inputs!$Q$32="Performance-Based",Inputs!$Q$32="Neither"),0,IF(AE$2&lt;=Inputs!$Q$35,($C$99*(Inputs!$Q$33*(1-Inputs!$G$70))*Inputs!$Q$34)/Inputs!$Q$35,0))</f>
        <v>0</v>
      </c>
      <c r="AF183" s="343">
        <f>IF(OR(Inputs!$G$69="No",Inputs!$Q$32="Performance-Based",Inputs!$Q$32="Neither"),0,IF(AF$2&lt;=Inputs!$Q$35,($C$99*(Inputs!$Q$33*(1-Inputs!$G$70))*Inputs!$Q$34)/Inputs!$Q$35,0))</f>
        <v>0</v>
      </c>
      <c r="AG183" s="343">
        <f>IF(OR(Inputs!$G$69="No",Inputs!$Q$32="Performance-Based",Inputs!$Q$32="Neither"),0,IF(AG$2&lt;=Inputs!$Q$35,($C$99*(Inputs!$Q$33*(1-Inputs!$G$70))*Inputs!$Q$34)/Inputs!$Q$35,0))</f>
        <v>0</v>
      </c>
      <c r="AH183" s="343">
        <f>IF(OR(Inputs!$G$69="No",Inputs!$Q$32="Performance-Based",Inputs!$Q$32="Neither"),0,IF(AH$2&lt;=Inputs!$Q$35,($C$99*(Inputs!$Q$33*(1-Inputs!$G$70))*Inputs!$Q$34)/Inputs!$Q$35,0))</f>
        <v>0</v>
      </c>
      <c r="AI183" s="343">
        <f>IF(OR(Inputs!$G$69="No",Inputs!$Q$32="Performance-Based",Inputs!$Q$32="Neither"),0,IF(AI$2&lt;=Inputs!$Q$35,($C$99*(Inputs!$Q$33*(1-Inputs!$G$70))*Inputs!$Q$34)/Inputs!$Q$35,0))</f>
        <v>0</v>
      </c>
      <c r="AJ183" s="343">
        <f>IF(OR(Inputs!$G$69="No",Inputs!$Q$32="Performance-Based",Inputs!$Q$32="Neither"),0,IF(AJ$2&lt;=Inputs!$Q$35,($C$99*(Inputs!$Q$33*(1-Inputs!$G$70))*Inputs!$Q$34)/Inputs!$Q$35,0))</f>
        <v>0</v>
      </c>
    </row>
    <row r="184" spans="2:36" s="30" customFormat="1" ht="16">
      <c r="B184" s="260" t="s">
        <v>209</v>
      </c>
      <c r="C184" s="260"/>
      <c r="D184" s="260"/>
      <c r="E184" s="260"/>
      <c r="F184" s="275"/>
      <c r="G184" s="280">
        <f>IF(OR(Inputs!$G$69="No",Inputs!$Q$32="Cost-Based",Inputs!$Q$32="Neither"),0,IF(Inputs!$Q$37="Tax Credit",IF(G$2&gt;Inputs!$Q$42,0,IF(Inputs!$Q$38=0,Inputs!$Q$40/100*G$10*Inputs!$Q$41*G$5,MIN(Inputs!$Q$38,Inputs!$Q$40/100*G$10*Inputs!$Q$41*G$5))),0))</f>
        <v>0</v>
      </c>
      <c r="H184" s="280">
        <f>IF(OR(Inputs!$G$69="No",Inputs!$Q$32="Cost-Based",Inputs!$Q$32="Neither"),0,IF(Inputs!$Q$37="Tax Credit",IF(H$2&gt;Inputs!$Q$42,0,IF(Inputs!$Q$38=0,Inputs!$Q$40/100*H$10*Inputs!$Q$41*H$5,MIN(Inputs!$Q$38,Inputs!$Q$40/100*H$10*Inputs!$Q$41*H$5))),0))</f>
        <v>0</v>
      </c>
      <c r="I184" s="280">
        <f>IF(OR(Inputs!$G$69="No",Inputs!$Q$32="Cost-Based",Inputs!$Q$32="Neither"),0,IF(Inputs!$Q$37="Tax Credit",IF(I$2&gt;Inputs!$Q$42,0,IF(Inputs!$Q$38=0,Inputs!$Q$40/100*I$10*Inputs!$Q$41*I$5,MIN(Inputs!$Q$38,Inputs!$Q$40/100*I$10*Inputs!$Q$41*I$5))),0))</f>
        <v>0</v>
      </c>
      <c r="J184" s="280">
        <f>IF(OR(Inputs!$G$69="No",Inputs!$Q$32="Cost-Based",Inputs!$Q$32="Neither"),0,IF(Inputs!$Q$37="Tax Credit",IF(J$2&gt;Inputs!$Q$42,0,IF(Inputs!$Q$38=0,Inputs!$Q$40/100*J$10*Inputs!$Q$41*J$5,MIN(Inputs!$Q$38,Inputs!$Q$40/100*J$10*Inputs!$Q$41*J$5))),0))</f>
        <v>0</v>
      </c>
      <c r="K184" s="280">
        <f>IF(OR(Inputs!$G$69="No",Inputs!$Q$32="Cost-Based",Inputs!$Q$32="Neither"),0,IF(Inputs!$Q$37="Tax Credit",IF(K$2&gt;Inputs!$Q$42,0,IF(Inputs!$Q$38=0,Inputs!$Q$40/100*K$10*Inputs!$Q$41*K$5,MIN(Inputs!$Q$38,Inputs!$Q$40/100*K$10*Inputs!$Q$41*K$5))),0))</f>
        <v>0</v>
      </c>
      <c r="L184" s="280">
        <f>IF(OR(Inputs!$G$69="No",Inputs!$Q$32="Cost-Based",Inputs!$Q$32="Neither"),0,IF(Inputs!$Q$37="Tax Credit",IF(L$2&gt;Inputs!$Q$42,0,IF(Inputs!$Q$38=0,Inputs!$Q$40/100*L$10*Inputs!$Q$41*L$5,MIN(Inputs!$Q$38,Inputs!$Q$40/100*L$10*Inputs!$Q$41*L$5))),0))</f>
        <v>0</v>
      </c>
      <c r="M184" s="280">
        <f>IF(OR(Inputs!$G$69="No",Inputs!$Q$32="Cost-Based",Inputs!$Q$32="Neither"),0,IF(Inputs!$Q$37="Tax Credit",IF(M$2&gt;Inputs!$Q$42,0,IF(Inputs!$Q$38=0,Inputs!$Q$40/100*M$10*Inputs!$Q$41*M$5,MIN(Inputs!$Q$38,Inputs!$Q$40/100*M$10*Inputs!$Q$41*M$5))),0))</f>
        <v>0</v>
      </c>
      <c r="N184" s="280">
        <f>IF(OR(Inputs!$G$69="No",Inputs!$Q$32="Cost-Based",Inputs!$Q$32="Neither"),0,IF(Inputs!$Q$37="Tax Credit",IF(N$2&gt;Inputs!$Q$42,0,IF(Inputs!$Q$38=0,Inputs!$Q$40/100*N$10*Inputs!$Q$41*N$5,MIN(Inputs!$Q$38,Inputs!$Q$40/100*N$10*Inputs!$Q$41*N$5))),0))</f>
        <v>0</v>
      </c>
      <c r="O184" s="280">
        <f>IF(OR(Inputs!$G$69="No",Inputs!$Q$32="Cost-Based",Inputs!$Q$32="Neither"),0,IF(Inputs!$Q$37="Tax Credit",IF(O$2&gt;Inputs!$Q$42,0,IF(Inputs!$Q$38=0,Inputs!$Q$40/100*O$10*Inputs!$Q$41*O$5,MIN(Inputs!$Q$38,Inputs!$Q$40/100*O$10*Inputs!$Q$41*O$5))),0))</f>
        <v>0</v>
      </c>
      <c r="P184" s="280">
        <f>IF(OR(Inputs!$G$69="No",Inputs!$Q$32="Cost-Based",Inputs!$Q$32="Neither"),0,IF(Inputs!$Q$37="Tax Credit",IF(P$2&gt;Inputs!$Q$42,0,IF(Inputs!$Q$38=0,Inputs!$Q$40/100*P$10*Inputs!$Q$41*P$5,MIN(Inputs!$Q$38,Inputs!$Q$40/100*P$10*Inputs!$Q$41*P$5))),0))</f>
        <v>0</v>
      </c>
      <c r="Q184" s="280">
        <f>IF(OR(Inputs!$G$69="No",Inputs!$Q$32="Cost-Based",Inputs!$Q$32="Neither"),0,IF(Inputs!$Q$37="Tax Credit",IF(Q$2&gt;Inputs!$Q$42,0,IF(Inputs!$Q$38=0,Inputs!$Q$40/100*Q$10*Inputs!$Q$41*Q$5,MIN(Inputs!$Q$38,Inputs!$Q$40/100*Q$10*Inputs!$Q$41*Q$5))),0))</f>
        <v>0</v>
      </c>
      <c r="R184" s="280">
        <f>IF(OR(Inputs!$G$69="No",Inputs!$Q$32="Cost-Based",Inputs!$Q$32="Neither"),0,IF(Inputs!$Q$37="Tax Credit",IF(R$2&gt;Inputs!$Q$42,0,IF(Inputs!$Q$38=0,Inputs!$Q$40/100*R$10*Inputs!$Q$41*R$5,MIN(Inputs!$Q$38,Inputs!$Q$40/100*R$10*Inputs!$Q$41*R$5))),0))</f>
        <v>0</v>
      </c>
      <c r="S184" s="280">
        <f>IF(OR(Inputs!$G$69="No",Inputs!$Q$32="Cost-Based",Inputs!$Q$32="Neither"),0,IF(Inputs!$Q$37="Tax Credit",IF(S$2&gt;Inputs!$Q$42,0,IF(Inputs!$Q$38=0,Inputs!$Q$40/100*S$10*Inputs!$Q$41*S$5,MIN(Inputs!$Q$38,Inputs!$Q$40/100*S$10*Inputs!$Q$41*S$5))),0))</f>
        <v>0</v>
      </c>
      <c r="T184" s="280">
        <f>IF(OR(Inputs!$G$69="No",Inputs!$Q$32="Cost-Based",Inputs!$Q$32="Neither"),0,IF(Inputs!$Q$37="Tax Credit",IF(T$2&gt;Inputs!$Q$42,0,IF(Inputs!$Q$38=0,Inputs!$Q$40/100*T$10*Inputs!$Q$41*T$5,MIN(Inputs!$Q$38,Inputs!$Q$40/100*T$10*Inputs!$Q$41*T$5))),0))</f>
        <v>0</v>
      </c>
      <c r="U184" s="280">
        <f>IF(OR(Inputs!$G$69="No",Inputs!$Q$32="Cost-Based",Inputs!$Q$32="Neither"),0,IF(Inputs!$Q$37="Tax Credit",IF(U$2&gt;Inputs!$Q$42,0,IF(Inputs!$Q$38=0,Inputs!$Q$40/100*U$10*Inputs!$Q$41*U$5,MIN(Inputs!$Q$38,Inputs!$Q$40/100*U$10*Inputs!$Q$41*U$5))),0))</f>
        <v>0</v>
      </c>
      <c r="V184" s="280">
        <f>IF(OR(Inputs!$G$69="No",Inputs!$Q$32="Cost-Based",Inputs!$Q$32="Neither"),0,IF(Inputs!$Q$37="Tax Credit",IF(V$2&gt;Inputs!$Q$42,0,IF(Inputs!$Q$38=0,Inputs!$Q$40/100*V$10*Inputs!$Q$41*V$5,MIN(Inputs!$Q$38,Inputs!$Q$40/100*V$10*Inputs!$Q$41*V$5))),0))</f>
        <v>0</v>
      </c>
      <c r="W184" s="280">
        <f>IF(OR(Inputs!$G$69="No",Inputs!$Q$32="Cost-Based",Inputs!$Q$32="Neither"),0,IF(Inputs!$Q$37="Tax Credit",IF(W$2&gt;Inputs!$Q$42,0,IF(Inputs!$Q$38=0,Inputs!$Q$40/100*W$10*Inputs!$Q$41*W$5,MIN(Inputs!$Q$38,Inputs!$Q$40/100*W$10*Inputs!$Q$41*W$5))),0))</f>
        <v>0</v>
      </c>
      <c r="X184" s="280">
        <f>IF(OR(Inputs!$G$69="No",Inputs!$Q$32="Cost-Based",Inputs!$Q$32="Neither"),0,IF(Inputs!$Q$37="Tax Credit",IF(X$2&gt;Inputs!$Q$42,0,IF(Inputs!$Q$38=0,Inputs!$Q$40/100*X$10*Inputs!$Q$41*X$5,MIN(Inputs!$Q$38,Inputs!$Q$40/100*X$10*Inputs!$Q$41*X$5))),0))</f>
        <v>0</v>
      </c>
      <c r="Y184" s="280">
        <f>IF(OR(Inputs!$G$69="No",Inputs!$Q$32="Cost-Based",Inputs!$Q$32="Neither"),0,IF(Inputs!$Q$37="Tax Credit",IF(Y$2&gt;Inputs!$Q$42,0,IF(Inputs!$Q$38=0,Inputs!$Q$40/100*Y$10*Inputs!$Q$41*Y$5,MIN(Inputs!$Q$38,Inputs!$Q$40/100*Y$10*Inputs!$Q$41*Y$5))),0))</f>
        <v>0</v>
      </c>
      <c r="Z184" s="280">
        <f>IF(OR(Inputs!$G$69="No",Inputs!$Q$32="Cost-Based",Inputs!$Q$32="Neither"),0,IF(Inputs!$Q$37="Tax Credit",IF(Z$2&gt;Inputs!$Q$42,0,IF(Inputs!$Q$38=0,Inputs!$Q$40/100*Z$10*Inputs!$Q$41*Z$5,MIN(Inputs!$Q$38,Inputs!$Q$40/100*Z$10*Inputs!$Q$41*Z$5))),0))</f>
        <v>0</v>
      </c>
      <c r="AA184" s="280">
        <f>IF(OR(Inputs!$G$69="No",Inputs!$Q$32="Cost-Based",Inputs!$Q$32="Neither"),0,IF(Inputs!$Q$37="Tax Credit",IF(AA$2&gt;Inputs!$Q$42,0,IF(Inputs!$Q$38=0,Inputs!$Q$40/100*AA$10*Inputs!$Q$41*AA$5,MIN(Inputs!$Q$38,Inputs!$Q$40/100*AA$10*Inputs!$Q$41*AA$5))),0))</f>
        <v>0</v>
      </c>
      <c r="AB184" s="280">
        <f>IF(OR(Inputs!$G$69="No",Inputs!$Q$32="Cost-Based",Inputs!$Q$32="Neither"),0,IF(Inputs!$Q$37="Tax Credit",IF(AB$2&gt;Inputs!$Q$42,0,IF(Inputs!$Q$38=0,Inputs!$Q$40/100*AB$10*Inputs!$Q$41*AB$5,MIN(Inputs!$Q$38,Inputs!$Q$40/100*AB$10*Inputs!$Q$41*AB$5))),0))</f>
        <v>0</v>
      </c>
      <c r="AC184" s="280">
        <f>IF(OR(Inputs!$G$69="No",Inputs!$Q$32="Cost-Based",Inputs!$Q$32="Neither"),0,IF(Inputs!$Q$37="Tax Credit",IF(AC$2&gt;Inputs!$Q$42,0,IF(Inputs!$Q$38=0,Inputs!$Q$40/100*AC$10*Inputs!$Q$41*AC$5,MIN(Inputs!$Q$38,Inputs!$Q$40/100*AC$10*Inputs!$Q$41*AC$5))),0))</f>
        <v>0</v>
      </c>
      <c r="AD184" s="280">
        <f>IF(OR(Inputs!$G$69="No",Inputs!$Q$32="Cost-Based",Inputs!$Q$32="Neither"),0,IF(Inputs!$Q$37="Tax Credit",IF(AD$2&gt;Inputs!$Q$42,0,IF(Inputs!$Q$38=0,Inputs!$Q$40/100*AD$10*Inputs!$Q$41*AD$5,MIN(Inputs!$Q$38,Inputs!$Q$40/100*AD$10*Inputs!$Q$41*AD$5))),0))</f>
        <v>0</v>
      </c>
      <c r="AE184" s="280">
        <f>IF(OR(Inputs!$G$69="No",Inputs!$Q$32="Cost-Based",Inputs!$Q$32="Neither"),0,IF(Inputs!$Q$37="Tax Credit",IF(AE$2&gt;Inputs!$Q$42,0,IF(Inputs!$Q$38=0,Inputs!$Q$40/100*AE$10*Inputs!$Q$41*AE$5,MIN(Inputs!$Q$38,Inputs!$Q$40/100*AE$10*Inputs!$Q$41*AE$5))),0))</f>
        <v>0</v>
      </c>
      <c r="AF184" s="280">
        <f>IF(OR(Inputs!$G$69="No",Inputs!$Q$32="Cost-Based",Inputs!$Q$32="Neither"),0,IF(Inputs!$Q$37="Tax Credit",IF(AF$2&gt;Inputs!$Q$42,0,IF(Inputs!$Q$38=0,Inputs!$Q$40/100*AF$10*Inputs!$Q$41*AF$5,MIN(Inputs!$Q$38,Inputs!$Q$40/100*AF$10*Inputs!$Q$41*AF$5))),0))</f>
        <v>0</v>
      </c>
      <c r="AG184" s="280">
        <f>IF(OR(Inputs!$G$69="No",Inputs!$Q$32="Cost-Based",Inputs!$Q$32="Neither"),0,IF(Inputs!$Q$37="Tax Credit",IF(AG$2&gt;Inputs!$Q$42,0,IF(Inputs!$Q$38=0,Inputs!$Q$40/100*AG$10*Inputs!$Q$41*AG$5,MIN(Inputs!$Q$38,Inputs!$Q$40/100*AG$10*Inputs!$Q$41*AG$5))),0))</f>
        <v>0</v>
      </c>
      <c r="AH184" s="280">
        <f>IF(OR(Inputs!$G$69="No",Inputs!$Q$32="Cost-Based",Inputs!$Q$32="Neither"),0,IF(Inputs!$Q$37="Tax Credit",IF(AH$2&gt;Inputs!$Q$42,0,IF(Inputs!$Q$38=0,Inputs!$Q$40/100*AH$10*Inputs!$Q$41*AH$5,MIN(Inputs!$Q$38,Inputs!$Q$40/100*AH$10*Inputs!$Q$41*AH$5))),0))</f>
        <v>0</v>
      </c>
      <c r="AI184" s="280">
        <f>IF(OR(Inputs!$G$69="No",Inputs!$Q$32="Cost-Based",Inputs!$Q$32="Neither"),0,IF(Inputs!$Q$37="Tax Credit",IF(AI$2&gt;Inputs!$Q$42,0,IF(Inputs!$Q$38=0,Inputs!$Q$40/100*AI$10*Inputs!$Q$41*AI$5,MIN(Inputs!$Q$38,Inputs!$Q$40/100*AI$10*Inputs!$Q$41*AI$5))),0))</f>
        <v>0</v>
      </c>
      <c r="AJ184" s="280">
        <f>IF(OR(Inputs!$G$69="No",Inputs!$Q$32="Cost-Based",Inputs!$Q$32="Neither"),0,IF(Inputs!$Q$37="Tax Credit",IF(AJ$2&gt;Inputs!$Q$42,0,IF(Inputs!$Q$38=0,Inputs!$Q$40/100*AJ$10*Inputs!$Q$41*AJ$5,MIN(Inputs!$Q$38,Inputs!$Q$40/100*AJ$10*Inputs!$Q$41*AJ$5))),0))</f>
        <v>0</v>
      </c>
    </row>
    <row r="185" spans="2:36" s="30" customFormat="1" ht="16">
      <c r="B185" s="260"/>
      <c r="C185" s="260"/>
      <c r="D185" s="260"/>
      <c r="E185" s="260"/>
      <c r="F185" s="275"/>
      <c r="G185" s="285"/>
      <c r="H185" s="286"/>
      <c r="I185" s="260"/>
      <c r="J185" s="260"/>
      <c r="K185" s="260"/>
      <c r="L185" s="260"/>
      <c r="M185" s="260"/>
      <c r="N185" s="260"/>
      <c r="O185" s="260"/>
      <c r="P185" s="260"/>
      <c r="Q185" s="260"/>
      <c r="R185" s="260"/>
      <c r="S185" s="260"/>
      <c r="T185" s="260"/>
      <c r="U185" s="260"/>
      <c r="V185" s="260"/>
      <c r="W185" s="260"/>
      <c r="X185" s="260"/>
      <c r="Y185" s="260"/>
      <c r="Z185" s="260"/>
      <c r="AA185" s="260"/>
      <c r="AB185" s="260"/>
      <c r="AC185" s="260"/>
      <c r="AD185" s="260"/>
      <c r="AE185" s="260"/>
      <c r="AF185" s="260"/>
      <c r="AG185" s="260"/>
      <c r="AH185" s="260"/>
      <c r="AI185" s="260"/>
      <c r="AJ185" s="260"/>
    </row>
    <row r="186" spans="2:36" s="30" customFormat="1" ht="16">
      <c r="B186" s="260" t="s">
        <v>251</v>
      </c>
      <c r="C186" s="260"/>
      <c r="D186" s="260"/>
      <c r="E186" s="260"/>
      <c r="F186" s="275"/>
      <c r="G186" s="280">
        <f>SUM(G183:G184)</f>
        <v>0</v>
      </c>
      <c r="H186" s="280">
        <f t="shared" ref="H186:AJ186" si="61">SUM(H183:H184)</f>
        <v>0</v>
      </c>
      <c r="I186" s="280">
        <f t="shared" si="61"/>
        <v>0</v>
      </c>
      <c r="J186" s="280">
        <f t="shared" si="61"/>
        <v>0</v>
      </c>
      <c r="K186" s="280">
        <f t="shared" si="61"/>
        <v>0</v>
      </c>
      <c r="L186" s="280">
        <f t="shared" si="61"/>
        <v>0</v>
      </c>
      <c r="M186" s="280">
        <f t="shared" si="61"/>
        <v>0</v>
      </c>
      <c r="N186" s="280">
        <f t="shared" si="61"/>
        <v>0</v>
      </c>
      <c r="O186" s="280">
        <f t="shared" si="61"/>
        <v>0</v>
      </c>
      <c r="P186" s="280">
        <f t="shared" si="61"/>
        <v>0</v>
      </c>
      <c r="Q186" s="280">
        <f t="shared" si="61"/>
        <v>0</v>
      </c>
      <c r="R186" s="280">
        <f t="shared" si="61"/>
        <v>0</v>
      </c>
      <c r="S186" s="280">
        <f t="shared" si="61"/>
        <v>0</v>
      </c>
      <c r="T186" s="280">
        <f t="shared" si="61"/>
        <v>0</v>
      </c>
      <c r="U186" s="280">
        <f t="shared" si="61"/>
        <v>0</v>
      </c>
      <c r="V186" s="280">
        <f t="shared" si="61"/>
        <v>0</v>
      </c>
      <c r="W186" s="280">
        <f t="shared" si="61"/>
        <v>0</v>
      </c>
      <c r="X186" s="280">
        <f t="shared" si="61"/>
        <v>0</v>
      </c>
      <c r="Y186" s="280">
        <f t="shared" si="61"/>
        <v>0</v>
      </c>
      <c r="Z186" s="280">
        <f t="shared" si="61"/>
        <v>0</v>
      </c>
      <c r="AA186" s="280">
        <f t="shared" si="61"/>
        <v>0</v>
      </c>
      <c r="AB186" s="280">
        <f t="shared" si="61"/>
        <v>0</v>
      </c>
      <c r="AC186" s="280">
        <f t="shared" si="61"/>
        <v>0</v>
      </c>
      <c r="AD186" s="280">
        <f t="shared" si="61"/>
        <v>0</v>
      </c>
      <c r="AE186" s="280">
        <f t="shared" si="61"/>
        <v>0</v>
      </c>
      <c r="AF186" s="280">
        <f t="shared" si="61"/>
        <v>0</v>
      </c>
      <c r="AG186" s="280">
        <f t="shared" si="61"/>
        <v>0</v>
      </c>
      <c r="AH186" s="280">
        <f t="shared" si="61"/>
        <v>0</v>
      </c>
      <c r="AI186" s="280">
        <f t="shared" si="61"/>
        <v>0</v>
      </c>
      <c r="AJ186" s="280">
        <f t="shared" si="61"/>
        <v>0</v>
      </c>
    </row>
    <row r="187" spans="2:36" s="30" customFormat="1" ht="16">
      <c r="B187" s="260"/>
      <c r="C187" s="260"/>
      <c r="D187" s="260"/>
      <c r="E187" s="260"/>
      <c r="F187" s="275"/>
      <c r="G187" s="280"/>
      <c r="H187" s="280"/>
      <c r="I187" s="280"/>
      <c r="J187" s="280"/>
      <c r="K187" s="280"/>
      <c r="L187" s="280"/>
      <c r="M187" s="280"/>
      <c r="N187" s="280"/>
      <c r="O187" s="280"/>
      <c r="P187" s="280"/>
      <c r="Q187" s="280"/>
      <c r="R187" s="280"/>
      <c r="S187" s="280"/>
      <c r="T187" s="280"/>
      <c r="U187" s="280"/>
      <c r="V187" s="280"/>
      <c r="W187" s="280"/>
      <c r="X187" s="280"/>
      <c r="Y187" s="280"/>
      <c r="Z187" s="280"/>
      <c r="AA187" s="280"/>
      <c r="AB187" s="280"/>
      <c r="AC187" s="280"/>
      <c r="AD187" s="280"/>
      <c r="AE187" s="280"/>
      <c r="AF187" s="280"/>
      <c r="AG187" s="280"/>
      <c r="AH187" s="280"/>
      <c r="AI187" s="280"/>
      <c r="AJ187" s="280"/>
    </row>
    <row r="188" spans="2:36" s="30" customFormat="1" ht="16">
      <c r="B188" s="344" t="s">
        <v>252</v>
      </c>
      <c r="C188" s="344"/>
      <c r="D188" s="344"/>
      <c r="E188" s="260"/>
      <c r="F188" s="275"/>
      <c r="G188" s="280"/>
      <c r="H188" s="280"/>
      <c r="I188" s="280"/>
      <c r="J188" s="280"/>
      <c r="K188" s="280"/>
      <c r="L188" s="280"/>
      <c r="M188" s="280"/>
      <c r="N188" s="280"/>
      <c r="O188" s="280"/>
      <c r="P188" s="280"/>
      <c r="Q188" s="280"/>
      <c r="R188" s="280"/>
      <c r="S188" s="280"/>
      <c r="T188" s="280"/>
      <c r="U188" s="280"/>
      <c r="V188" s="280"/>
      <c r="W188" s="280"/>
      <c r="X188" s="280"/>
      <c r="Y188" s="280"/>
      <c r="Z188" s="280"/>
      <c r="AA188" s="280"/>
      <c r="AB188" s="280"/>
      <c r="AC188" s="280"/>
      <c r="AD188" s="280"/>
      <c r="AE188" s="280"/>
      <c r="AF188" s="280"/>
      <c r="AG188" s="280"/>
      <c r="AH188" s="280"/>
      <c r="AI188" s="280"/>
      <c r="AJ188" s="280"/>
    </row>
    <row r="189" spans="2:36" s="30" customFormat="1" ht="16">
      <c r="B189" s="260" t="str">
        <f>B64</f>
        <v>State Income Taxes Saved / (Paid), before ITC/PTC</v>
      </c>
      <c r="C189" s="260"/>
      <c r="D189" s="260"/>
      <c r="E189" s="260"/>
      <c r="F189" s="275"/>
      <c r="G189" s="280" t="str">
        <f>IF(Inputs!$G$73="as generated","N/A",'Cash Flow'!G64)</f>
        <v>N/A</v>
      </c>
      <c r="H189" s="280" t="str">
        <f>IF(Inputs!$G$73="as generated","N/A",'Cash Flow'!H64)</f>
        <v>N/A</v>
      </c>
      <c r="I189" s="280" t="str">
        <f>IF(Inputs!$G$73="as generated","N/A",'Cash Flow'!I64)</f>
        <v>N/A</v>
      </c>
      <c r="J189" s="280" t="str">
        <f>IF(Inputs!$G$73="as generated","N/A",'Cash Flow'!J64)</f>
        <v>N/A</v>
      </c>
      <c r="K189" s="280" t="str">
        <f>IF(Inputs!$G$73="as generated","N/A",'Cash Flow'!K64)</f>
        <v>N/A</v>
      </c>
      <c r="L189" s="280" t="str">
        <f>IF(Inputs!$G$73="as generated","N/A",'Cash Flow'!L64)</f>
        <v>N/A</v>
      </c>
      <c r="M189" s="280" t="str">
        <f>IF(Inputs!$G$73="as generated","N/A",'Cash Flow'!M64)</f>
        <v>N/A</v>
      </c>
      <c r="N189" s="280" t="str">
        <f>IF(Inputs!$G$73="as generated","N/A",'Cash Flow'!N64)</f>
        <v>N/A</v>
      </c>
      <c r="O189" s="280" t="str">
        <f>IF(Inputs!$G$73="as generated","N/A",'Cash Flow'!O64)</f>
        <v>N/A</v>
      </c>
      <c r="P189" s="280" t="str">
        <f>IF(Inputs!$G$73="as generated","N/A",'Cash Flow'!P64)</f>
        <v>N/A</v>
      </c>
      <c r="Q189" s="280" t="str">
        <f>IF(Inputs!$G$73="as generated","N/A",'Cash Flow'!Q64)</f>
        <v>N/A</v>
      </c>
      <c r="R189" s="280" t="str">
        <f>IF(Inputs!$G$73="as generated","N/A",'Cash Flow'!R64)</f>
        <v>N/A</v>
      </c>
      <c r="S189" s="280" t="str">
        <f>IF(Inputs!$G$73="as generated","N/A",'Cash Flow'!S64)</f>
        <v>N/A</v>
      </c>
      <c r="T189" s="280" t="str">
        <f>IF(Inputs!$G$73="as generated","N/A",'Cash Flow'!T64)</f>
        <v>N/A</v>
      </c>
      <c r="U189" s="280" t="str">
        <f>IF(Inputs!$G$73="as generated","N/A",'Cash Flow'!U64)</f>
        <v>N/A</v>
      </c>
      <c r="V189" s="280" t="str">
        <f>IF(Inputs!$G$73="as generated","N/A",'Cash Flow'!V64)</f>
        <v>N/A</v>
      </c>
      <c r="W189" s="280" t="str">
        <f>IF(Inputs!$G$73="as generated","N/A",'Cash Flow'!W64)</f>
        <v>N/A</v>
      </c>
      <c r="X189" s="280" t="str">
        <f>IF(Inputs!$G$73="as generated","N/A",'Cash Flow'!X64)</f>
        <v>N/A</v>
      </c>
      <c r="Y189" s="280" t="str">
        <f>IF(Inputs!$G$73="as generated","N/A",'Cash Flow'!Y64)</f>
        <v>N/A</v>
      </c>
      <c r="Z189" s="280" t="str">
        <f>IF(Inputs!$G$73="as generated","N/A",'Cash Flow'!Z64)</f>
        <v>N/A</v>
      </c>
      <c r="AA189" s="280" t="str">
        <f>IF(Inputs!$G$73="as generated","N/A",'Cash Flow'!AA64)</f>
        <v>N/A</v>
      </c>
      <c r="AB189" s="280" t="str">
        <f>IF(Inputs!$G$73="as generated","N/A",'Cash Flow'!AB64)</f>
        <v>N/A</v>
      </c>
      <c r="AC189" s="280" t="str">
        <f>IF(Inputs!$G$73="as generated","N/A",'Cash Flow'!AC64)</f>
        <v>N/A</v>
      </c>
      <c r="AD189" s="280" t="str">
        <f>IF(Inputs!$G$73="as generated","N/A",'Cash Flow'!AD64)</f>
        <v>N/A</v>
      </c>
      <c r="AE189" s="280" t="str">
        <f>IF(Inputs!$G$73="as generated","N/A",'Cash Flow'!AE64)</f>
        <v>N/A</v>
      </c>
      <c r="AF189" s="280" t="str">
        <f>IF(Inputs!$G$73="as generated","N/A",'Cash Flow'!AF64)</f>
        <v>N/A</v>
      </c>
      <c r="AG189" s="280" t="str">
        <f>IF(Inputs!$G$73="as generated","N/A",'Cash Flow'!AG64)</f>
        <v>N/A</v>
      </c>
      <c r="AH189" s="280" t="str">
        <f>IF(Inputs!$G$73="as generated","N/A",'Cash Flow'!AH64)</f>
        <v>N/A</v>
      </c>
      <c r="AI189" s="280" t="str">
        <f>IF(Inputs!$G$73="as generated","N/A",'Cash Flow'!AI64)</f>
        <v>N/A</v>
      </c>
      <c r="AJ189" s="280" t="str">
        <f>IF(Inputs!$G$73="as generated","N/A",'Cash Flow'!AJ64)</f>
        <v>N/A</v>
      </c>
    </row>
    <row r="190" spans="2:36" s="30" customFormat="1" ht="16">
      <c r="B190" s="260"/>
      <c r="C190" s="260"/>
      <c r="D190" s="260"/>
      <c r="E190" s="260"/>
      <c r="F190" s="275"/>
      <c r="G190" s="280"/>
      <c r="H190" s="280"/>
      <c r="I190" s="280"/>
      <c r="J190" s="280"/>
      <c r="K190" s="280"/>
      <c r="L190" s="280"/>
      <c r="M190" s="280"/>
      <c r="N190" s="280"/>
      <c r="O190" s="280"/>
      <c r="P190" s="280"/>
      <c r="Q190" s="280"/>
      <c r="R190" s="280"/>
      <c r="S190" s="280"/>
      <c r="T190" s="280"/>
      <c r="U190" s="280"/>
      <c r="V190" s="280"/>
      <c r="W190" s="280"/>
      <c r="X190" s="280"/>
      <c r="Y190" s="280"/>
      <c r="Z190" s="280"/>
      <c r="AA190" s="280"/>
      <c r="AB190" s="280"/>
      <c r="AC190" s="280"/>
      <c r="AD190" s="280"/>
      <c r="AE190" s="280"/>
      <c r="AF190" s="280"/>
      <c r="AG190" s="280"/>
      <c r="AH190" s="280"/>
      <c r="AI190" s="280"/>
      <c r="AJ190" s="280"/>
    </row>
    <row r="191" spans="2:36" s="30" customFormat="1" ht="16">
      <c r="B191" s="260" t="s">
        <v>290</v>
      </c>
      <c r="C191" s="260"/>
      <c r="D191" s="260"/>
      <c r="E191" s="260"/>
      <c r="F191" s="275"/>
      <c r="G191" s="280">
        <v>0</v>
      </c>
      <c r="H191" s="280">
        <f>IF(Inputs!$G$73="as generated",0,G194)</f>
        <v>0</v>
      </c>
      <c r="I191" s="280">
        <f>IF(Inputs!$G$73="as generated",0,H194)</f>
        <v>0</v>
      </c>
      <c r="J191" s="280">
        <f>IF(Inputs!$G$73="as generated",0,I194)</f>
        <v>0</v>
      </c>
      <c r="K191" s="280">
        <f>IF(Inputs!$G$73="as generated",0,J194)</f>
        <v>0</v>
      </c>
      <c r="L191" s="280">
        <f>IF(Inputs!$G$73="as generated",0,K194)</f>
        <v>0</v>
      </c>
      <c r="M191" s="280">
        <f>IF(Inputs!$G$73="as generated",0,L194)</f>
        <v>0</v>
      </c>
      <c r="N191" s="280">
        <f>IF(Inputs!$G$73="as generated",0,M194)</f>
        <v>0</v>
      </c>
      <c r="O191" s="280">
        <f>IF(Inputs!$G$73="as generated",0,N194)</f>
        <v>0</v>
      </c>
      <c r="P191" s="280">
        <f>IF(Inputs!$G$73="as generated",0,O194)</f>
        <v>0</v>
      </c>
      <c r="Q191" s="280">
        <f>IF(Inputs!$G$73="as generated",0,P194)</f>
        <v>0</v>
      </c>
      <c r="R191" s="280">
        <f>IF(Inputs!$G$73="as generated",0,Q194)</f>
        <v>0</v>
      </c>
      <c r="S191" s="280">
        <f>IF(Inputs!$G$73="as generated",0,R194)</f>
        <v>0</v>
      </c>
      <c r="T191" s="280">
        <f>IF(Inputs!$G$73="as generated",0,S194)</f>
        <v>0</v>
      </c>
      <c r="U191" s="280">
        <f>IF(Inputs!$G$73="as generated",0,T194)</f>
        <v>0</v>
      </c>
      <c r="V191" s="280">
        <f>IF(Inputs!$G$73="as generated",0,U194)</f>
        <v>0</v>
      </c>
      <c r="W191" s="280">
        <f>IF(Inputs!$G$73="as generated",0,V194)</f>
        <v>0</v>
      </c>
      <c r="X191" s="280">
        <f>IF(Inputs!$G$73="as generated",0,W194)</f>
        <v>0</v>
      </c>
      <c r="Y191" s="280">
        <f>IF(Inputs!$G$73="as generated",0,X194)</f>
        <v>0</v>
      </c>
      <c r="Z191" s="280">
        <f>IF(Inputs!$G$73="as generated",0,Y194)</f>
        <v>0</v>
      </c>
      <c r="AA191" s="280">
        <f>IF(Inputs!$G$73="as generated",0,Z194)</f>
        <v>0</v>
      </c>
      <c r="AB191" s="280">
        <f>IF(Inputs!$G$73="as generated",0,AA194)</f>
        <v>0</v>
      </c>
      <c r="AC191" s="280">
        <f>IF(Inputs!$G$73="as generated",0,AB194)</f>
        <v>0</v>
      </c>
      <c r="AD191" s="280">
        <f>IF(Inputs!$G$73="as generated",0,AC194)</f>
        <v>0</v>
      </c>
      <c r="AE191" s="280">
        <f>IF(Inputs!$G$73="as generated",0,AD194)</f>
        <v>0</v>
      </c>
      <c r="AF191" s="280">
        <f>IF(Inputs!$G$73="as generated",0,AE194)</f>
        <v>0</v>
      </c>
      <c r="AG191" s="280">
        <f>IF(Inputs!$G$73="as generated",0,AF194)</f>
        <v>0</v>
      </c>
      <c r="AH191" s="280">
        <f>IF(Inputs!$G$73="as generated",0,AG194)</f>
        <v>0</v>
      </c>
      <c r="AI191" s="280">
        <f>IF(Inputs!$G$73="as generated",0,AH194)</f>
        <v>0</v>
      </c>
      <c r="AJ191" s="280">
        <f>IF(Inputs!$G$73="as generated",0,AI194)</f>
        <v>0</v>
      </c>
    </row>
    <row r="192" spans="2:36" s="30" customFormat="1" ht="16">
      <c r="B192" s="260" t="s">
        <v>291</v>
      </c>
      <c r="C192" s="260"/>
      <c r="D192" s="260"/>
      <c r="E192" s="260"/>
      <c r="F192" s="275"/>
      <c r="G192" s="280">
        <f>IF(Inputs!$G$73="as generated",0,IF(G189&lt;=0,G186,0))</f>
        <v>0</v>
      </c>
      <c r="H192" s="280">
        <f>IF(Inputs!$G$73="as generated",0,IF(H189&lt;=0,H186,0))</f>
        <v>0</v>
      </c>
      <c r="I192" s="280">
        <f>IF(Inputs!$G$73="as generated",0,IF(I189&lt;=0,I186,0))</f>
        <v>0</v>
      </c>
      <c r="J192" s="280">
        <f>IF(Inputs!$G$73="as generated",0,IF(J189&lt;=0,J186,0))</f>
        <v>0</v>
      </c>
      <c r="K192" s="280">
        <f>IF(Inputs!$G$73="as generated",0,IF(K189&lt;=0,K186,0))</f>
        <v>0</v>
      </c>
      <c r="L192" s="280">
        <f>IF(Inputs!$G$73="as generated",0,IF(L189&lt;=0,L186,0))</f>
        <v>0</v>
      </c>
      <c r="M192" s="280">
        <f>IF(Inputs!$G$73="as generated",0,IF(M189&lt;=0,M186,0))</f>
        <v>0</v>
      </c>
      <c r="N192" s="280">
        <f>IF(Inputs!$G$73="as generated",0,IF(N189&lt;=0,N186,0))</f>
        <v>0</v>
      </c>
      <c r="O192" s="280">
        <f>IF(Inputs!$G$73="as generated",0,IF(O189&lt;=0,O186,0))</f>
        <v>0</v>
      </c>
      <c r="P192" s="280">
        <f>IF(Inputs!$G$73="as generated",0,IF(P189&lt;=0,P186,0))</f>
        <v>0</v>
      </c>
      <c r="Q192" s="280">
        <f>IF(Inputs!$G$73="as generated",0,IF(Q189&lt;=0,Q186,0))</f>
        <v>0</v>
      </c>
      <c r="R192" s="280">
        <f>IF(Inputs!$G$73="as generated",0,IF(R189&lt;=0,R186,0))</f>
        <v>0</v>
      </c>
      <c r="S192" s="280">
        <f>IF(Inputs!$G$73="as generated",0,IF(S189&lt;=0,S186,0))</f>
        <v>0</v>
      </c>
      <c r="T192" s="280">
        <f>IF(Inputs!$G$73="as generated",0,IF(T189&lt;=0,T186,0))</f>
        <v>0</v>
      </c>
      <c r="U192" s="280">
        <f>IF(Inputs!$G$73="as generated",0,IF(U189&lt;=0,U186,0))</f>
        <v>0</v>
      </c>
      <c r="V192" s="280">
        <f>IF(Inputs!$G$73="as generated",0,IF(V189&lt;=0,V186,0))</f>
        <v>0</v>
      </c>
      <c r="W192" s="280">
        <f>IF(Inputs!$G$73="as generated",0,IF(W189&lt;=0,W186,0))</f>
        <v>0</v>
      </c>
      <c r="X192" s="280">
        <f>IF(Inputs!$G$73="as generated",0,IF(X189&lt;=0,X186,0))</f>
        <v>0</v>
      </c>
      <c r="Y192" s="280">
        <f>IF(Inputs!$G$73="as generated",0,IF(Y189&lt;=0,Y186,0))</f>
        <v>0</v>
      </c>
      <c r="Z192" s="280">
        <f>IF(Inputs!$G$73="as generated",0,IF(Z189&lt;=0,Z186,0))</f>
        <v>0</v>
      </c>
      <c r="AA192" s="280">
        <f>IF(Inputs!$G$73="as generated",0,IF(AA189&lt;=0,AA186,0))</f>
        <v>0</v>
      </c>
      <c r="AB192" s="280">
        <f>IF(Inputs!$G$73="as generated",0,IF(AB189&lt;=0,AB186,0))</f>
        <v>0</v>
      </c>
      <c r="AC192" s="280">
        <f>IF(Inputs!$G$73="as generated",0,IF(AC189&lt;=0,AC186,0))</f>
        <v>0</v>
      </c>
      <c r="AD192" s="280">
        <f>IF(Inputs!$G$73="as generated",0,IF(AD189&lt;=0,AD186,0))</f>
        <v>0</v>
      </c>
      <c r="AE192" s="280">
        <f>IF(Inputs!$G$73="as generated",0,IF(AE189&lt;=0,AE186,0))</f>
        <v>0</v>
      </c>
      <c r="AF192" s="280">
        <f>IF(Inputs!$G$73="as generated",0,IF(AF189&lt;=0,AF186,0))</f>
        <v>0</v>
      </c>
      <c r="AG192" s="280">
        <f>IF(Inputs!$G$73="as generated",0,IF(AG189&lt;=0,AG186,0))</f>
        <v>0</v>
      </c>
      <c r="AH192" s="280">
        <f>IF(Inputs!$G$73="as generated",0,IF(AH189&lt;=0,AH186,0))</f>
        <v>0</v>
      </c>
      <c r="AI192" s="280">
        <f>IF(Inputs!$G$73="as generated",0,IF(AI189&lt;=0,AI186,0))</f>
        <v>0</v>
      </c>
      <c r="AJ192" s="280">
        <f>IF(Inputs!$G$73="as generated",0,IF(AJ189&lt;=0,AJ186,0))</f>
        <v>0</v>
      </c>
    </row>
    <row r="193" spans="2:36" s="30" customFormat="1" ht="16">
      <c r="B193" s="260" t="s">
        <v>292</v>
      </c>
      <c r="C193" s="260"/>
      <c r="D193" s="260"/>
      <c r="E193" s="260"/>
      <c r="F193" s="275"/>
      <c r="G193" s="280">
        <f>IF(Inputs!$G$73="as generated",0,IF(G$189&lt;0,MAX(G$189,-F$194),0))</f>
        <v>0</v>
      </c>
      <c r="H193" s="280">
        <f>IF(Inputs!$G$73="as generated",0,IF(H$189&lt;0,MAX(H$189,-G$194),0))</f>
        <v>0</v>
      </c>
      <c r="I193" s="280">
        <f>IF(Inputs!$G$73="as generated",0,IF(I$189&lt;0,MAX(I$189,-H$194),0))</f>
        <v>0</v>
      </c>
      <c r="J193" s="280">
        <f>IF(Inputs!$G$73="as generated",0,IF(J$189&lt;0,MAX(J$189,-I$194),0))</f>
        <v>0</v>
      </c>
      <c r="K193" s="280">
        <f>IF(Inputs!$G$73="as generated",0,IF(K$189&lt;0,MAX(K$189,-J$194),0))</f>
        <v>0</v>
      </c>
      <c r="L193" s="280">
        <f>IF(Inputs!$G$73="as generated",0,IF(L$189&lt;0,MAX(L$189,-K$194),0))</f>
        <v>0</v>
      </c>
      <c r="M193" s="280">
        <f>IF(Inputs!$G$73="as generated",0,IF(M$189&lt;0,MAX(M$189,-L$194),0))</f>
        <v>0</v>
      </c>
      <c r="N193" s="280">
        <f>IF(Inputs!$G$73="as generated",0,IF(N$189&lt;0,MAX(N$189,-M$194),0))</f>
        <v>0</v>
      </c>
      <c r="O193" s="280">
        <f>IF(Inputs!$G$73="as generated",0,IF(O$189&lt;0,MAX(O$189,-N$194),0))</f>
        <v>0</v>
      </c>
      <c r="P193" s="280">
        <f>IF(Inputs!$G$73="as generated",0,IF(P$189&lt;0,MAX(P$189,-O$194),0))</f>
        <v>0</v>
      </c>
      <c r="Q193" s="280">
        <f>IF(Inputs!$G$73="as generated",0,IF(Q$189&lt;0,MAX(Q$189,-P$194),0))</f>
        <v>0</v>
      </c>
      <c r="R193" s="280">
        <f>IF(Inputs!$G$73="as generated",0,IF(R$189&lt;0,MAX(R$189,-Q$194),0))</f>
        <v>0</v>
      </c>
      <c r="S193" s="280">
        <f>IF(Inputs!$G$73="as generated",0,IF(S$189&lt;0,MAX(S$189,-R$194),0))</f>
        <v>0</v>
      </c>
      <c r="T193" s="280">
        <f>IF(Inputs!$G$73="as generated",0,IF(T$189&lt;0,MAX(T$189,-S$194),0))</f>
        <v>0</v>
      </c>
      <c r="U193" s="280">
        <f>IF(Inputs!$G$73="as generated",0,IF(U$189&lt;0,MAX(U$189,-T$194),0))</f>
        <v>0</v>
      </c>
      <c r="V193" s="280">
        <f>IF(Inputs!$G$73="as generated",0,IF(V$189&lt;0,MAX(V$189,-U$194),0))</f>
        <v>0</v>
      </c>
      <c r="W193" s="280">
        <f>IF(Inputs!$G$73="as generated",0,IF(W$189&lt;0,MAX(W$189,-V$194),0))</f>
        <v>0</v>
      </c>
      <c r="X193" s="280">
        <f>IF(Inputs!$G$73="as generated",0,IF(X$189&lt;0,MAX(X$189,-W$194),0))</f>
        <v>0</v>
      </c>
      <c r="Y193" s="280">
        <f>IF(Inputs!$G$73="as generated",0,IF(Y$189&lt;0,MAX(Y$189,-X$194),0))</f>
        <v>0</v>
      </c>
      <c r="Z193" s="280">
        <f>IF(Inputs!$G$73="as generated",0,IF(Z$189&lt;0,MAX(Z$189,-Y$194),0))</f>
        <v>0</v>
      </c>
      <c r="AA193" s="280">
        <f>IF(Inputs!$G$73="as generated",0,IF(AA$189&lt;0,MAX(AA$189,-Z$194),0))</f>
        <v>0</v>
      </c>
      <c r="AB193" s="280">
        <f>IF(Inputs!$G$73="as generated",0,IF(AB$189&lt;0,MAX(AB$189,-AA$194),0))</f>
        <v>0</v>
      </c>
      <c r="AC193" s="280">
        <f>IF(Inputs!$G$73="as generated",0,IF(AC$189&lt;0,MAX(AC$189,-AB$194),0))</f>
        <v>0</v>
      </c>
      <c r="AD193" s="280">
        <f>IF(Inputs!$G$73="as generated",0,IF(AD$189&lt;0,MAX(AD$189,-AC$194),0))</f>
        <v>0</v>
      </c>
      <c r="AE193" s="280">
        <f>IF(Inputs!$G$73="as generated",0,IF(AE$189&lt;0,MAX(AE$189,-AD$194),0))</f>
        <v>0</v>
      </c>
      <c r="AF193" s="280">
        <f>IF(Inputs!$G$73="as generated",0,IF(AF$189&lt;0,MAX(AF$189,-AE$194),0))</f>
        <v>0</v>
      </c>
      <c r="AG193" s="280">
        <f>IF(Inputs!$G$73="as generated",0,IF(AG$189&lt;0,MAX(AG$189,-AF$194),0))</f>
        <v>0</v>
      </c>
      <c r="AH193" s="280">
        <f>IF(Inputs!$G$73="as generated",0,IF(AH$189&lt;0,MAX(AH$189,-AG$194),0))</f>
        <v>0</v>
      </c>
      <c r="AI193" s="280">
        <f>IF(Inputs!$G$73="as generated",0,IF(AI$189&lt;0,MAX(AI$189,-AH$194),0))</f>
        <v>0</v>
      </c>
      <c r="AJ193" s="280">
        <f>IF(Inputs!$G$73="as generated",0,IF(AJ$189&lt;0,MAX(AJ$189,-AI$194),0))</f>
        <v>0</v>
      </c>
    </row>
    <row r="194" spans="2:36" s="30" customFormat="1" ht="16">
      <c r="B194" s="260" t="s">
        <v>293</v>
      </c>
      <c r="C194" s="260"/>
      <c r="D194" s="260"/>
      <c r="E194" s="260"/>
      <c r="F194" s="280">
        <v>0</v>
      </c>
      <c r="G194" s="280">
        <f>SUM(G191:G193)</f>
        <v>0</v>
      </c>
      <c r="H194" s="280">
        <f t="shared" ref="H194:AJ194" si="62">SUM(H191:H193)</f>
        <v>0</v>
      </c>
      <c r="I194" s="280">
        <f t="shared" si="62"/>
        <v>0</v>
      </c>
      <c r="J194" s="280">
        <f t="shared" si="62"/>
        <v>0</v>
      </c>
      <c r="K194" s="280">
        <f t="shared" si="62"/>
        <v>0</v>
      </c>
      <c r="L194" s="280">
        <f t="shared" si="62"/>
        <v>0</v>
      </c>
      <c r="M194" s="280">
        <f t="shared" si="62"/>
        <v>0</v>
      </c>
      <c r="N194" s="280">
        <f t="shared" si="62"/>
        <v>0</v>
      </c>
      <c r="O194" s="280">
        <f t="shared" si="62"/>
        <v>0</v>
      </c>
      <c r="P194" s="280">
        <f t="shared" si="62"/>
        <v>0</v>
      </c>
      <c r="Q194" s="280">
        <f t="shared" si="62"/>
        <v>0</v>
      </c>
      <c r="R194" s="280">
        <f t="shared" si="62"/>
        <v>0</v>
      </c>
      <c r="S194" s="280">
        <f t="shared" si="62"/>
        <v>0</v>
      </c>
      <c r="T194" s="280">
        <f t="shared" si="62"/>
        <v>0</v>
      </c>
      <c r="U194" s="280">
        <f t="shared" si="62"/>
        <v>0</v>
      </c>
      <c r="V194" s="280">
        <f t="shared" si="62"/>
        <v>0</v>
      </c>
      <c r="W194" s="280">
        <f t="shared" si="62"/>
        <v>0</v>
      </c>
      <c r="X194" s="280">
        <f t="shared" si="62"/>
        <v>0</v>
      </c>
      <c r="Y194" s="280">
        <f t="shared" si="62"/>
        <v>0</v>
      </c>
      <c r="Z194" s="280">
        <f t="shared" si="62"/>
        <v>0</v>
      </c>
      <c r="AA194" s="280">
        <f t="shared" si="62"/>
        <v>0</v>
      </c>
      <c r="AB194" s="280">
        <f t="shared" si="62"/>
        <v>0</v>
      </c>
      <c r="AC194" s="280">
        <f t="shared" si="62"/>
        <v>0</v>
      </c>
      <c r="AD194" s="280">
        <f t="shared" si="62"/>
        <v>0</v>
      </c>
      <c r="AE194" s="280">
        <f t="shared" si="62"/>
        <v>0</v>
      </c>
      <c r="AF194" s="280">
        <f t="shared" si="62"/>
        <v>0</v>
      </c>
      <c r="AG194" s="280">
        <f t="shared" si="62"/>
        <v>0</v>
      </c>
      <c r="AH194" s="280">
        <f t="shared" si="62"/>
        <v>0</v>
      </c>
      <c r="AI194" s="280">
        <f t="shared" si="62"/>
        <v>0</v>
      </c>
      <c r="AJ194" s="280">
        <f t="shared" si="62"/>
        <v>0</v>
      </c>
    </row>
    <row r="195" spans="2:36" s="30" customFormat="1" ht="17" thickBot="1">
      <c r="B195" s="282"/>
      <c r="C195" s="282"/>
      <c r="D195" s="282"/>
      <c r="E195" s="282"/>
      <c r="F195" s="282"/>
      <c r="G195" s="283"/>
      <c r="H195" s="284"/>
      <c r="I195" s="282"/>
      <c r="J195" s="282"/>
      <c r="K195" s="282"/>
      <c r="L195" s="282"/>
      <c r="M195" s="282"/>
      <c r="N195" s="282"/>
      <c r="O195" s="282"/>
      <c r="P195" s="282"/>
      <c r="Q195" s="282"/>
      <c r="R195" s="282"/>
      <c r="S195" s="282"/>
      <c r="T195" s="282"/>
      <c r="U195" s="282"/>
      <c r="V195" s="282"/>
      <c r="W195" s="282"/>
      <c r="X195" s="282"/>
      <c r="Y195" s="282"/>
      <c r="Z195" s="282"/>
      <c r="AA195" s="282"/>
      <c r="AB195" s="282"/>
      <c r="AC195" s="282"/>
      <c r="AD195" s="282"/>
      <c r="AE195" s="282"/>
      <c r="AF195" s="282"/>
      <c r="AG195" s="282"/>
      <c r="AH195" s="282"/>
      <c r="AI195" s="282"/>
      <c r="AJ195" s="282"/>
    </row>
    <row r="196" spans="2:36">
      <c r="B196" s="304"/>
      <c r="C196" s="304"/>
      <c r="D196" s="304"/>
      <c r="E196" s="304"/>
      <c r="F196" s="304"/>
      <c r="G196" s="304"/>
      <c r="H196" s="304"/>
      <c r="I196" s="304"/>
      <c r="J196" s="304"/>
      <c r="K196" s="304"/>
      <c r="L196" s="304"/>
      <c r="M196" s="304"/>
      <c r="N196" s="304"/>
      <c r="O196" s="304"/>
      <c r="P196" s="304"/>
      <c r="Q196" s="304"/>
      <c r="R196" s="304"/>
      <c r="S196" s="304"/>
      <c r="T196" s="304"/>
      <c r="U196" s="304"/>
      <c r="V196" s="304"/>
      <c r="W196" s="304"/>
      <c r="X196" s="304"/>
      <c r="Y196" s="304"/>
      <c r="Z196" s="304"/>
      <c r="AA196" s="304"/>
      <c r="AB196" s="304"/>
      <c r="AC196" s="304"/>
      <c r="AD196" s="304"/>
      <c r="AE196" s="304"/>
      <c r="AF196" s="304"/>
      <c r="AG196" s="304"/>
      <c r="AH196" s="304"/>
      <c r="AI196" s="304"/>
      <c r="AJ196" s="304"/>
    </row>
    <row r="197" spans="2:36" ht="16">
      <c r="B197" s="259" t="s">
        <v>149</v>
      </c>
      <c r="C197" s="259"/>
      <c r="D197" s="259"/>
      <c r="E197" s="304"/>
      <c r="F197" s="304"/>
      <c r="G197" s="304"/>
      <c r="H197" s="304"/>
      <c r="I197" s="304"/>
      <c r="J197" s="304"/>
      <c r="K197" s="304"/>
      <c r="L197" s="304"/>
      <c r="M197" s="304"/>
      <c r="N197" s="304"/>
      <c r="O197" s="304"/>
      <c r="P197" s="304"/>
      <c r="Q197" s="304"/>
      <c r="R197" s="304"/>
      <c r="S197" s="304"/>
      <c r="T197" s="304"/>
      <c r="U197" s="304"/>
      <c r="V197" s="304"/>
      <c r="W197" s="304"/>
      <c r="X197" s="304"/>
      <c r="Y197" s="304"/>
      <c r="Z197" s="304"/>
      <c r="AA197" s="304"/>
      <c r="AB197" s="304"/>
      <c r="AC197" s="304"/>
      <c r="AD197" s="304"/>
      <c r="AE197" s="304"/>
      <c r="AF197" s="304"/>
      <c r="AG197" s="304"/>
      <c r="AH197" s="304"/>
      <c r="AI197" s="304"/>
      <c r="AJ197" s="304"/>
    </row>
    <row r="198" spans="2:36" ht="16">
      <c r="B198" s="260" t="s">
        <v>89</v>
      </c>
      <c r="C198" s="279"/>
      <c r="D198" s="279"/>
      <c r="E198" s="304"/>
      <c r="F198" s="321">
        <v>0</v>
      </c>
      <c r="G198" s="297">
        <f>F206</f>
        <v>1262906.6212895242</v>
      </c>
      <c r="H198" s="297">
        <f t="shared" ref="H198:AJ198" si="63">G206</f>
        <v>1287906.6212895242</v>
      </c>
      <c r="I198" s="297">
        <f t="shared" si="63"/>
        <v>1312906.6212895242</v>
      </c>
      <c r="J198" s="297">
        <f t="shared" si="63"/>
        <v>1337906.6212895242</v>
      </c>
      <c r="K198" s="297">
        <f t="shared" si="63"/>
        <v>1362906.6212895242</v>
      </c>
      <c r="L198" s="297">
        <f t="shared" si="63"/>
        <v>1387906.6212895242</v>
      </c>
      <c r="M198" s="297">
        <f t="shared" si="63"/>
        <v>1412906.6212895242</v>
      </c>
      <c r="N198" s="297">
        <f t="shared" si="63"/>
        <v>1437906.6212895242</v>
      </c>
      <c r="O198" s="297">
        <f t="shared" si="63"/>
        <v>1462906.6212895242</v>
      </c>
      <c r="P198" s="297">
        <f t="shared" si="63"/>
        <v>1487906.6212895242</v>
      </c>
      <c r="Q198" s="297">
        <f t="shared" si="63"/>
        <v>1512906.6212895242</v>
      </c>
      <c r="R198" s="297">
        <f t="shared" si="63"/>
        <v>1537906.6212895242</v>
      </c>
      <c r="S198" s="297">
        <f t="shared" si="63"/>
        <v>1562906.6212895242</v>
      </c>
      <c r="T198" s="297">
        <f t="shared" si="63"/>
        <v>1587906.6212895242</v>
      </c>
      <c r="U198" s="297">
        <f t="shared" si="63"/>
        <v>1612906.6212895242</v>
      </c>
      <c r="V198" s="297">
        <f t="shared" si="63"/>
        <v>1637906.6212895242</v>
      </c>
      <c r="W198" s="297">
        <f t="shared" si="63"/>
        <v>976690.21690823336</v>
      </c>
      <c r="X198" s="297">
        <f t="shared" si="63"/>
        <v>1001690.2169082334</v>
      </c>
      <c r="Y198" s="297">
        <f t="shared" si="63"/>
        <v>1026690.2169082334</v>
      </c>
      <c r="Z198" s="297">
        <f t="shared" si="63"/>
        <v>1051690.2169082332</v>
      </c>
      <c r="AA198" s="297">
        <f t="shared" si="63"/>
        <v>499999.99999999977</v>
      </c>
      <c r="AB198" s="297">
        <f t="shared" si="63"/>
        <v>0</v>
      </c>
      <c r="AC198" s="297">
        <f t="shared" si="63"/>
        <v>0</v>
      </c>
      <c r="AD198" s="297">
        <f t="shared" si="63"/>
        <v>0</v>
      </c>
      <c r="AE198" s="297">
        <f t="shared" si="63"/>
        <v>0</v>
      </c>
      <c r="AF198" s="297">
        <f t="shared" si="63"/>
        <v>0</v>
      </c>
      <c r="AG198" s="297">
        <f t="shared" si="63"/>
        <v>0</v>
      </c>
      <c r="AH198" s="297">
        <f t="shared" si="63"/>
        <v>0</v>
      </c>
      <c r="AI198" s="297">
        <f t="shared" si="63"/>
        <v>0</v>
      </c>
      <c r="AJ198" s="297">
        <f t="shared" si="63"/>
        <v>0</v>
      </c>
    </row>
    <row r="199" spans="2:36" ht="16">
      <c r="B199" s="279" t="s">
        <v>39</v>
      </c>
      <c r="C199" s="279"/>
      <c r="D199" s="279"/>
      <c r="E199" s="304"/>
      <c r="F199" s="297">
        <f>Inputs!$Q$66</f>
        <v>686216.40438129089</v>
      </c>
      <c r="G199" s="297">
        <f>IF(G$2=Inputs!$G$48+1,-$F$199,0)</f>
        <v>0</v>
      </c>
      <c r="H199" s="297">
        <f>IF(H$2=Inputs!$G$48+1,-$F$199,0)</f>
        <v>0</v>
      </c>
      <c r="I199" s="297">
        <f>IF(I$2=Inputs!$G$48+1,-$F$199,0)</f>
        <v>0</v>
      </c>
      <c r="J199" s="297">
        <f>IF(J$2=Inputs!$G$48+1,-$F$199,0)</f>
        <v>0</v>
      </c>
      <c r="K199" s="297">
        <f>IF(K$2=Inputs!$G$48+1,-$F$199,0)</f>
        <v>0</v>
      </c>
      <c r="L199" s="297">
        <f>IF(L$2=Inputs!$G$48+1,-$F$199,0)</f>
        <v>0</v>
      </c>
      <c r="M199" s="297">
        <f>IF(M$2=Inputs!$G$48+1,-$F$199,0)</f>
        <v>0</v>
      </c>
      <c r="N199" s="297">
        <f>IF(N$2=Inputs!$G$48+1,-$F$199,0)</f>
        <v>0</v>
      </c>
      <c r="O199" s="297">
        <f>IF(O$2=Inputs!$G$48+1,-$F$199,0)</f>
        <v>0</v>
      </c>
      <c r="P199" s="297">
        <f>IF(P$2=Inputs!$G$48+1,-$F$199,0)</f>
        <v>0</v>
      </c>
      <c r="Q199" s="297">
        <f>IF(Q$2=Inputs!$G$48+1,-$F$199,0)</f>
        <v>0</v>
      </c>
      <c r="R199" s="297">
        <f>IF(R$2=Inputs!$G$48+1,-$F$199,0)</f>
        <v>0</v>
      </c>
      <c r="S199" s="297">
        <f>IF(S$2=Inputs!$G$48+1,-$F$199,0)</f>
        <v>0</v>
      </c>
      <c r="T199" s="297">
        <f>IF(T$2=Inputs!$G$48+1,-$F$199,0)</f>
        <v>0</v>
      </c>
      <c r="U199" s="297">
        <f>IF(U$2=Inputs!$G$48+1,-$F$199,0)</f>
        <v>0</v>
      </c>
      <c r="V199" s="297">
        <f>IF(V$2=Inputs!$G$48+1,-$F$199,0)</f>
        <v>-686216.40438129089</v>
      </c>
      <c r="W199" s="297">
        <f>IF(W$2=Inputs!$G$48+1,-$F$199,0)</f>
        <v>0</v>
      </c>
      <c r="X199" s="297">
        <f>IF(X$2=Inputs!$G$48+1,-$F$199,0)</f>
        <v>0</v>
      </c>
      <c r="Y199" s="297">
        <f>IF(Y$2=Inputs!$G$48+1,-$F$199,0)</f>
        <v>0</v>
      </c>
      <c r="Z199" s="297">
        <f>IF(Z$2=Inputs!$G$48+1,-$F$199,0)</f>
        <v>0</v>
      </c>
      <c r="AA199" s="297">
        <f>IF(AA$2=Inputs!$G$48+1,-$F$199,0)</f>
        <v>0</v>
      </c>
      <c r="AB199" s="297">
        <f>IF(AB$2=Inputs!$G$48+1,-$F$199,0)</f>
        <v>0</v>
      </c>
      <c r="AC199" s="297">
        <f>IF(AC$2=Inputs!$G$48+1,-$F$199,0)</f>
        <v>0</v>
      </c>
      <c r="AD199" s="297">
        <f>IF(AD$2=Inputs!$G$48+1,-$F$199,0)</f>
        <v>0</v>
      </c>
      <c r="AE199" s="297">
        <f>IF(AE$2=Inputs!$G$48+1,-$F$199,0)</f>
        <v>0</v>
      </c>
      <c r="AF199" s="297">
        <f>IF(AF$2=Inputs!$G$48+1,-$F$199,0)</f>
        <v>0</v>
      </c>
      <c r="AG199" s="297">
        <f>IF(AG$2=Inputs!$G$48+1,-$F$199,0)</f>
        <v>0</v>
      </c>
      <c r="AH199" s="297">
        <f>IF(AH$2=Inputs!$G$48+1,-$F$199,0)</f>
        <v>0</v>
      </c>
      <c r="AI199" s="297">
        <f>IF(AI$2=Inputs!$G$48+1,-$F$199,0)</f>
        <v>0</v>
      </c>
      <c r="AJ199" s="297">
        <f>IF(AJ$2=Inputs!$G$48+1,-$F$199,0)</f>
        <v>0</v>
      </c>
    </row>
    <row r="200" spans="2:36" ht="16">
      <c r="B200" s="279" t="s">
        <v>196</v>
      </c>
      <c r="C200" s="279"/>
      <c r="D200" s="279"/>
      <c r="E200" s="304"/>
      <c r="F200" s="297">
        <f>Inputs!$Q$69</f>
        <v>576690.21690823347</v>
      </c>
      <c r="G200" s="297">
        <f>IF(G$2=Inputs!$G$11,-$F$200,0)</f>
        <v>0</v>
      </c>
      <c r="H200" s="297">
        <f>IF(H$2=Inputs!$G$11,-$F$200,0)</f>
        <v>0</v>
      </c>
      <c r="I200" s="297">
        <f>IF(I$2=Inputs!$G$11,-$F$200,0)</f>
        <v>0</v>
      </c>
      <c r="J200" s="297">
        <f>IF(J$2=Inputs!$G$11,-$F$200,0)</f>
        <v>0</v>
      </c>
      <c r="K200" s="297">
        <f>IF(K$2=Inputs!$G$11,-$F$200,0)</f>
        <v>0</v>
      </c>
      <c r="L200" s="297">
        <f>IF(L$2=Inputs!$G$11,-$F$200,0)</f>
        <v>0</v>
      </c>
      <c r="M200" s="297">
        <f>IF(M$2=Inputs!$G$11,-$F$200,0)</f>
        <v>0</v>
      </c>
      <c r="N200" s="297">
        <f>IF(N$2=Inputs!$G$11,-$F$200,0)</f>
        <v>0</v>
      </c>
      <c r="O200" s="297">
        <f>IF(O$2=Inputs!$G$11,-$F$200,0)</f>
        <v>0</v>
      </c>
      <c r="P200" s="297">
        <f>IF(P$2=Inputs!$G$11,-$F$200,0)</f>
        <v>0</v>
      </c>
      <c r="Q200" s="297">
        <f>IF(Q$2=Inputs!$G$11,-$F$200,0)</f>
        <v>0</v>
      </c>
      <c r="R200" s="297">
        <f>IF(R$2=Inputs!$G$11,-$F$200,0)</f>
        <v>0</v>
      </c>
      <c r="S200" s="297">
        <f>IF(S$2=Inputs!$G$11,-$F$200,0)</f>
        <v>0</v>
      </c>
      <c r="T200" s="297">
        <f>IF(T$2=Inputs!$G$11,-$F$200,0)</f>
        <v>0</v>
      </c>
      <c r="U200" s="297">
        <f>IF(U$2=Inputs!$G$11,-$F$200,0)</f>
        <v>0</v>
      </c>
      <c r="V200" s="297">
        <f>IF(V$2=Inputs!$G$11,-$F$200,0)</f>
        <v>0</v>
      </c>
      <c r="W200" s="297">
        <f>IF(W$2=Inputs!$G$11,-$F$200,0)</f>
        <v>0</v>
      </c>
      <c r="X200" s="297">
        <f>IF(X$2=Inputs!$G$11,-$F$200,0)</f>
        <v>0</v>
      </c>
      <c r="Y200" s="297">
        <f>IF(Y$2=Inputs!$G$11,-$F$200,0)</f>
        <v>0</v>
      </c>
      <c r="Z200" s="297">
        <f>IF(Z$2=Inputs!$G$11,-$F$200,0)</f>
        <v>-576690.21690823347</v>
      </c>
      <c r="AA200" s="297">
        <f>IF(AA$2=Inputs!$G$11,-$F$200,0)</f>
        <v>0</v>
      </c>
      <c r="AB200" s="297">
        <f>IF(AB$2=Inputs!$G$11,-$F$200,0)</f>
        <v>0</v>
      </c>
      <c r="AC200" s="297">
        <f>IF(AC$2=Inputs!$G$11,-$F$200,0)</f>
        <v>0</v>
      </c>
      <c r="AD200" s="297">
        <f>IF(AD$2=Inputs!$G$11,-$F$200,0)</f>
        <v>0</v>
      </c>
      <c r="AE200" s="297">
        <f>IF(AE$2=Inputs!$G$11,-$F$200,0)</f>
        <v>0</v>
      </c>
      <c r="AF200" s="297">
        <f>IF(AF$2=Inputs!$G$11,-$F$200,0)</f>
        <v>0</v>
      </c>
      <c r="AG200" s="297">
        <f>IF(AG$2=Inputs!$G$11,-$F$200,0)</f>
        <v>0</v>
      </c>
      <c r="AH200" s="297">
        <f>IF(AH$2=Inputs!$G$11,-$F$200,0)</f>
        <v>0</v>
      </c>
      <c r="AI200" s="297">
        <f>IF(AI$2=Inputs!$G$11,-$F$200,0)</f>
        <v>0</v>
      </c>
      <c r="AJ200" s="297">
        <f>IF(AJ$2=Inputs!$G$11,-$F$200,0)</f>
        <v>0</v>
      </c>
    </row>
    <row r="201" spans="2:36" ht="16">
      <c r="B201" s="279" t="s">
        <v>396</v>
      </c>
      <c r="C201" s="279"/>
      <c r="D201" s="672" t="s">
        <v>400</v>
      </c>
      <c r="E201" s="673">
        <v>10</v>
      </c>
      <c r="F201" s="321">
        <v>0</v>
      </c>
      <c r="G201" s="297">
        <f>IF(AND(G$2&lt;Inputs!$Q$49,(G$2+$E$201)&gt;=Inputs!$Q$49),$E$129/MIN($E201,(Inputs!$Q$49-1)),IF(G$2=Inputs!$Q$49,-($E$129),0))</f>
        <v>0</v>
      </c>
      <c r="H201" s="297">
        <f>IF(AND(H$2&lt;Inputs!$Q$49,(H$2+$E$201)&gt;=Inputs!$Q$49),$E$129/MIN($E201,(Inputs!$Q$49-1)),IF(H$2=Inputs!$Q$49,-($E$129),0))</f>
        <v>0</v>
      </c>
      <c r="I201" s="297">
        <f>IF(AND(I$2&lt;Inputs!$Q$49,(I$2+$E$201)&gt;=Inputs!$Q$49),$E$129/MIN($E201,(Inputs!$Q$49-1)),IF(I$2=Inputs!$Q$49,-($E$129),0))</f>
        <v>0</v>
      </c>
      <c r="J201" s="297">
        <f>IF(AND(J$2&lt;Inputs!$Q$49,(J$2+$E$201)&gt;=Inputs!$Q$49),$E$129/MIN($E201,(Inputs!$Q$49-1)),IF(J$2=Inputs!$Q$49,-($E$129),0))</f>
        <v>0</v>
      </c>
      <c r="K201" s="297">
        <f>IF(AND(K$2&lt;Inputs!$Q$49,(K$2+$E$201)&gt;=Inputs!$Q$49),$E$129/MIN($E201,(Inputs!$Q$49-1)),IF(K$2=Inputs!$Q$49,-($E$129),0))</f>
        <v>0</v>
      </c>
      <c r="L201" s="297">
        <f>IF(AND(L$2&lt;Inputs!$Q$49,(L$2+$E$201)&gt;=Inputs!$Q$49),$E$129/MIN($E201,(Inputs!$Q$49-1)),IF(L$2=Inputs!$Q$49,-($E$129),0))</f>
        <v>0</v>
      </c>
      <c r="M201" s="297">
        <f>IF(AND(M$2&lt;Inputs!$Q$49,(M$2+$E$201)&gt;=Inputs!$Q$49),$E$129/MIN($E201,(Inputs!$Q$49-1)),IF(M$2=Inputs!$Q$49,-($E$129),0))</f>
        <v>0</v>
      </c>
      <c r="N201" s="297">
        <f>IF(AND(N$2&lt;Inputs!$Q$49,(N$2+$E$201)&gt;=Inputs!$Q$49),$E$129/MIN($E201,(Inputs!$Q$49-1)),IF(N$2=Inputs!$Q$49,-($E$129),0))</f>
        <v>0</v>
      </c>
      <c r="O201" s="297">
        <f>IF(AND(O$2&lt;Inputs!$Q$49,(O$2+$E$201)&gt;=Inputs!$Q$49),$E$129/MIN($E201,(Inputs!$Q$49-1)),IF(O$2=Inputs!$Q$49,-($E$129),0))</f>
        <v>0</v>
      </c>
      <c r="P201" s="297">
        <f>IF(AND(P$2&lt;Inputs!$Q$49,(P$2+$E$201)&gt;=Inputs!$Q$49),$E$129/MIN($E201,(Inputs!$Q$49-1)),IF(P$2=Inputs!$Q$49,-($E$129),0))</f>
        <v>0</v>
      </c>
      <c r="Q201" s="297">
        <f>IF(AND(Q$2&lt;Inputs!$Q$49,(Q$2+$E$201)&gt;=Inputs!$Q$49),$E$129/MIN($E201,(Inputs!$Q$49-1)),IF(Q$2=Inputs!$Q$49,-($E$129),0))</f>
        <v>0</v>
      </c>
      <c r="R201" s="297">
        <f>IF(AND(R$2&lt;Inputs!$Q$49,(R$2+$E$201)&gt;=Inputs!$Q$49),$E$129/MIN($E201,(Inputs!$Q$49-1)),IF(R$2=Inputs!$Q$49,-($E$129),0))</f>
        <v>0</v>
      </c>
      <c r="S201" s="297">
        <f>IF(AND(S$2&lt;Inputs!$Q$49,(S$2+$E$201)&gt;=Inputs!$Q$49),$E$129/MIN($E201,(Inputs!$Q$49-1)),IF(S$2=Inputs!$Q$49,-($E$129),0))</f>
        <v>0</v>
      </c>
      <c r="T201" s="297">
        <f>IF(AND(T$2&lt;Inputs!$Q$49,(T$2+$E$201)&gt;=Inputs!$Q$49),$E$129/MIN($E201,(Inputs!$Q$49-1)),IF(T$2=Inputs!$Q$49,-($E$129),0))</f>
        <v>0</v>
      </c>
      <c r="U201" s="297">
        <f>IF(AND(U$2&lt;Inputs!$Q$49,(U$2+$E$201)&gt;=Inputs!$Q$49),$E$129/MIN($E201,(Inputs!$Q$49-1)),IF(U$2=Inputs!$Q$49,-($E$129),0))</f>
        <v>0</v>
      </c>
      <c r="V201" s="297">
        <f>IF(AND(V$2&lt;Inputs!$Q$49,(V$2+$E$201)&gt;=Inputs!$Q$49),$E$129/MIN($E201,(Inputs!$Q$49-1)),IF(V$2=Inputs!$Q$49,-($E$129),0))</f>
        <v>0</v>
      </c>
      <c r="W201" s="297">
        <f>IF(AND(W$2&lt;Inputs!$Q$49,(W$2+$E$201)&gt;=Inputs!$Q$49),$E$129/MIN($E201,(Inputs!$Q$49-1)),IF(W$2=Inputs!$Q$49,-($E$129),0))</f>
        <v>0</v>
      </c>
      <c r="X201" s="297">
        <f>IF(AND(X$2&lt;Inputs!$Q$49,(X$2+$E$201)&gt;=Inputs!$Q$49),$E$129/MIN($E201,(Inputs!$Q$49-1)),IF(X$2=Inputs!$Q$49,-($E$129),0))</f>
        <v>0</v>
      </c>
      <c r="Y201" s="297">
        <f>IF(AND(Y$2&lt;Inputs!$Q$49,(Y$2+$E$201)&gt;=Inputs!$Q$49),$E$129/MIN($E201,(Inputs!$Q$49-1)),IF(Y$2=Inputs!$Q$49,-($E$129),0))</f>
        <v>0</v>
      </c>
      <c r="Z201" s="297">
        <f>IF(AND(Z$2&lt;Inputs!$Q$49,(Z$2+$E$201)&gt;=Inputs!$Q$49),$E$129/MIN($E201,(Inputs!$Q$49-1)),IF(Z$2=Inputs!$Q$49,-($E$129),0))</f>
        <v>0</v>
      </c>
      <c r="AA201" s="297">
        <f>IF(AND(AA$2&lt;Inputs!$Q$49,(AA$2+$E$201)&gt;=Inputs!$Q$49),$E$129/MIN($E201,(Inputs!$Q$49-1)),IF(AA$2=Inputs!$Q$49,-($E$129),0))</f>
        <v>0</v>
      </c>
      <c r="AB201" s="297">
        <f>IF(AND(AB$2&lt;Inputs!$Q$49,(AB$2+$E$201)&gt;=Inputs!$Q$49),$E$129/MIN($E201,(Inputs!$Q$49-1)),IF(AB$2=Inputs!$Q$49,-($E$129),0))</f>
        <v>0</v>
      </c>
      <c r="AC201" s="297">
        <f>IF(AND(AC$2&lt;Inputs!$Q$49,(AC$2+$E$201)&gt;=Inputs!$Q$49),$E$129/MIN($E201,(Inputs!$Q$49-1)),IF(AC$2=Inputs!$Q$49,-($E$129),0))</f>
        <v>0</v>
      </c>
      <c r="AD201" s="297">
        <f>IF(AND(AD$2&lt;Inputs!$Q$49,(AD$2+$E$201)&gt;=Inputs!$Q$49),$E$129/MIN($E201,(Inputs!$Q$49-1)),IF(AD$2=Inputs!$Q$49,-($E$129),0))</f>
        <v>0</v>
      </c>
      <c r="AE201" s="297">
        <f>IF(AND(AE$2&lt;Inputs!$Q$49,(AE$2+$E$201)&gt;=Inputs!$Q$49),$E$129/MIN($E201,(Inputs!$Q$49-1)),IF(AE$2=Inputs!$Q$49,-($E$129),0))</f>
        <v>0</v>
      </c>
      <c r="AF201" s="297">
        <f>IF(AND(AF$2&lt;Inputs!$Q$49,(AF$2+$E$201)&gt;=Inputs!$Q$49),$E$129/MIN($E201,(Inputs!$Q$49-1)),IF(AF$2=Inputs!$Q$49,-($E$129),0))</f>
        <v>0</v>
      </c>
      <c r="AG201" s="297">
        <f>IF(AND(AG$2&lt;Inputs!$Q$49,(AG$2+$E$201)&gt;=Inputs!$Q$49),$E$129/MIN($E201,(Inputs!$Q$49-1)),IF(AG$2=Inputs!$Q$49,-($E$129),0))</f>
        <v>0</v>
      </c>
      <c r="AH201" s="297">
        <f>IF(AND(AH$2&lt;Inputs!$Q$49,(AH$2+$E$201)&gt;=Inputs!$Q$49),$E$129/MIN($E201,(Inputs!$Q$49-1)),IF(AH$2=Inputs!$Q$49,-($E$129),0))</f>
        <v>0</v>
      </c>
      <c r="AI201" s="297">
        <f>IF(AND(AI$2&lt;Inputs!$Q$49,(AI$2+$E$201)&gt;=Inputs!$Q$49),$E$129/MIN($E201,(Inputs!$Q$49-1)),IF(AI$2=Inputs!$Q$49,-($E$129),0))</f>
        <v>0</v>
      </c>
      <c r="AJ201" s="297">
        <f>IF(AND(AJ$2&lt;Inputs!$Q$49,(AJ$2+$E$201)&gt;=Inputs!$Q$49),$E$129/MIN($E201,(Inputs!$Q$49-1)),IF(AJ$2=Inputs!$Q$49,-($E$129),0))</f>
        <v>0</v>
      </c>
    </row>
    <row r="202" spans="2:36" ht="16">
      <c r="B202" s="279" t="s">
        <v>397</v>
      </c>
      <c r="C202" s="279"/>
      <c r="D202" s="672" t="s">
        <v>400</v>
      </c>
      <c r="E202" s="673">
        <v>10</v>
      </c>
      <c r="F202" s="321">
        <v>0</v>
      </c>
      <c r="G202" s="297">
        <f>IF(AND(G$2&lt;Inputs!$Q$51,(G$2+$E$202)&gt;=Inputs!$Q$51),$E$132/MIN($E202,(Inputs!$Q$51-1)),IF(G$2=Inputs!$Q$51,-($E$132),0))</f>
        <v>0</v>
      </c>
      <c r="H202" s="297">
        <f>IF(AND(H$2&lt;Inputs!$Q$51,(H$2+$E$202)&gt;=Inputs!$Q$51),$E$132/MIN($E202,(Inputs!$Q$51-1)),IF(H$2=Inputs!$Q$51,-($E$132),0))</f>
        <v>0</v>
      </c>
      <c r="I202" s="297">
        <f>IF(AND(I$2&lt;Inputs!$Q$51,(I$2+$E$202)&gt;=Inputs!$Q$51),$E$132/MIN($E202,(Inputs!$Q$51-1)),IF(I$2=Inputs!$Q$51,-($E$132),0))</f>
        <v>0</v>
      </c>
      <c r="J202" s="297">
        <f>IF(AND(J$2&lt;Inputs!$Q$51,(J$2+$E$202)&gt;=Inputs!$Q$51),$E$132/MIN($E202,(Inputs!$Q$51-1)),IF(J$2=Inputs!$Q$51,-($E$132),0))</f>
        <v>0</v>
      </c>
      <c r="K202" s="297">
        <f>IF(AND(K$2&lt;Inputs!$Q$51,(K$2+$E$202)&gt;=Inputs!$Q$51),$E$132/MIN($E202,(Inputs!$Q$51-1)),IF(K$2=Inputs!$Q$51,-($E$132),0))</f>
        <v>0</v>
      </c>
      <c r="L202" s="297">
        <f>IF(AND(L$2&lt;Inputs!$Q$51,(L$2+$E$202)&gt;=Inputs!$Q$51),$E$132/MIN($E202,(Inputs!$Q$51-1)),IF(L$2=Inputs!$Q$51,-($E$132),0))</f>
        <v>0</v>
      </c>
      <c r="M202" s="297">
        <f>IF(AND(M$2&lt;Inputs!$Q$51,(M$2+$E$202)&gt;=Inputs!$Q$51),$E$132/MIN($E202,(Inputs!$Q$51-1)),IF(M$2=Inputs!$Q$51,-($E$132),0))</f>
        <v>0</v>
      </c>
      <c r="N202" s="297">
        <f>IF(AND(N$2&lt;Inputs!$Q$51,(N$2+$E$202)&gt;=Inputs!$Q$51),$E$132/MIN($E202,(Inputs!$Q$51-1)),IF(N$2=Inputs!$Q$51,-($E$132),0))</f>
        <v>0</v>
      </c>
      <c r="O202" s="297">
        <f>IF(AND(O$2&lt;Inputs!$Q$51,(O$2+$E$202)&gt;=Inputs!$Q$51),$E$132/MIN($E202,(Inputs!$Q$51-1)),IF(O$2=Inputs!$Q$51,-($E$132),0))</f>
        <v>0</v>
      </c>
      <c r="P202" s="297">
        <f>IF(AND(P$2&lt;Inputs!$Q$51,(P$2+$E$202)&gt;=Inputs!$Q$51),$E$132/MIN($E202,(Inputs!$Q$51-1)),IF(P$2=Inputs!$Q$51,-($E$132),0))</f>
        <v>0</v>
      </c>
      <c r="Q202" s="297">
        <f>IF(AND(Q$2&lt;Inputs!$Q$51,(Q$2+$E$202)&gt;=Inputs!$Q$51),$E$132/MIN($E202,(Inputs!$Q$51-1)),IF(Q$2=Inputs!$Q$51,-($E$132),0))</f>
        <v>0</v>
      </c>
      <c r="R202" s="297">
        <f>IF(AND(R$2&lt;Inputs!$Q$51,(R$2+$E$202)&gt;=Inputs!$Q$51),$E$132/MIN($E202,(Inputs!$Q$51-1)),IF(R$2=Inputs!$Q$51,-($E$132),0))</f>
        <v>0</v>
      </c>
      <c r="S202" s="297">
        <f>IF(AND(S$2&lt;Inputs!$Q$51,(S$2+$E$202)&gt;=Inputs!$Q$51),$E$132/MIN($E202,(Inputs!$Q$51-1)),IF(S$2=Inputs!$Q$51,-($E$132),0))</f>
        <v>0</v>
      </c>
      <c r="T202" s="297">
        <f>IF(AND(T$2&lt;Inputs!$Q$51,(T$2+$E$202)&gt;=Inputs!$Q$51),$E$132/MIN($E202,(Inputs!$Q$51-1)),IF(T$2=Inputs!$Q$51,-($E$132),0))</f>
        <v>0</v>
      </c>
      <c r="U202" s="297">
        <f>IF(AND(U$2&lt;Inputs!$Q$51,(U$2+$E$202)&gt;=Inputs!$Q$51),$E$132/MIN($E202,(Inputs!$Q$51-1)),IF(U$2=Inputs!$Q$51,-($E$132),0))</f>
        <v>0</v>
      </c>
      <c r="V202" s="297">
        <f>IF(AND(V$2&lt;Inputs!$Q$51,(V$2+$E$202)&gt;=Inputs!$Q$51),$E$132/MIN($E202,(Inputs!$Q$51-1)),IF(V$2=Inputs!$Q$51,-($E$132),0))</f>
        <v>0</v>
      </c>
      <c r="W202" s="297">
        <f>IF(AND(W$2&lt;Inputs!$Q$51,(W$2+$E$202)&gt;=Inputs!$Q$51),$E$132/MIN($E202,(Inputs!$Q$51-1)),IF(W$2=Inputs!$Q$51,-($E$132),0))</f>
        <v>0</v>
      </c>
      <c r="X202" s="297">
        <f>IF(AND(X$2&lt;Inputs!$Q$51,(X$2+$E$202)&gt;=Inputs!$Q$51),$E$132/MIN($E202,(Inputs!$Q$51-1)),IF(X$2=Inputs!$Q$51,-($E$132),0))</f>
        <v>0</v>
      </c>
      <c r="Y202" s="297">
        <f>IF(AND(Y$2&lt;Inputs!$Q$51,(Y$2+$E$202)&gt;=Inputs!$Q$51),$E$132/MIN($E202,(Inputs!$Q$51-1)),IF(Y$2=Inputs!$Q$51,-($E$132),0))</f>
        <v>0</v>
      </c>
      <c r="Z202" s="297">
        <f>IF(AND(Z$2&lt;Inputs!$Q$51,(Z$2+$E$202)&gt;=Inputs!$Q$51),$E$132/MIN($E202,(Inputs!$Q$51-1)),IF(Z$2=Inputs!$Q$51,-($E$132),0))</f>
        <v>0</v>
      </c>
      <c r="AA202" s="297">
        <f>IF(AND(AA$2&lt;Inputs!$Q$51,(AA$2+$E$202)&gt;=Inputs!$Q$51),$E$132/MIN($E202,(Inputs!$Q$51-1)),IF(AA$2=Inputs!$Q$51,-($E$132),0))</f>
        <v>0</v>
      </c>
      <c r="AB202" s="297">
        <f>IF(AND(AB$2&lt;Inputs!$Q$51,(AB$2+$E$202)&gt;=Inputs!$Q$51),$E$132/MIN($E202,(Inputs!$Q$51-1)),IF(AB$2=Inputs!$Q$51,-($E$132),0))</f>
        <v>0</v>
      </c>
      <c r="AC202" s="297">
        <f>IF(AND(AC$2&lt;Inputs!$Q$51,(AC$2+$E$202)&gt;=Inputs!$Q$51),$E$132/MIN($E202,(Inputs!$Q$51-1)),IF(AC$2=Inputs!$Q$51,-($E$132),0))</f>
        <v>0</v>
      </c>
      <c r="AD202" s="297">
        <f>IF(AND(AD$2&lt;Inputs!$Q$51,(AD$2+$E$202)&gt;=Inputs!$Q$51),$E$132/MIN($E202,(Inputs!$Q$51-1)),IF(AD$2=Inputs!$Q$51,-($E$132),0))</f>
        <v>0</v>
      </c>
      <c r="AE202" s="297">
        <f>IF(AND(AE$2&lt;Inputs!$Q$51,(AE$2+$E$202)&gt;=Inputs!$Q$51),$E$132/MIN($E202,(Inputs!$Q$51-1)),IF(AE$2=Inputs!$Q$51,-($E$132),0))</f>
        <v>0</v>
      </c>
      <c r="AF202" s="297">
        <f>IF(AND(AF$2&lt;Inputs!$Q$51,(AF$2+$E$202)&gt;=Inputs!$Q$51),$E$132/MIN($E202,(Inputs!$Q$51-1)),IF(AF$2=Inputs!$Q$51,-($E$132),0))</f>
        <v>0</v>
      </c>
      <c r="AG202" s="297">
        <f>IF(AND(AG$2&lt;Inputs!$Q$51,(AG$2+$E$202)&gt;=Inputs!$Q$51),$E$132/MIN($E202,(Inputs!$Q$51-1)),IF(AG$2=Inputs!$Q$51,-($E$132),0))</f>
        <v>0</v>
      </c>
      <c r="AH202" s="297">
        <f>IF(AND(AH$2&lt;Inputs!$Q$51,(AH$2+$E$202)&gt;=Inputs!$Q$51),$E$132/MIN($E202,(Inputs!$Q$51-1)),IF(AH$2=Inputs!$Q$51,-($E$132),0))</f>
        <v>0</v>
      </c>
      <c r="AI202" s="297">
        <f>IF(AND(AI$2&lt;Inputs!$Q$51,(AI$2+$E$202)&gt;=Inputs!$Q$51),$E$132/MIN($E202,(Inputs!$Q$51-1)),IF(AI$2=Inputs!$Q$51,-($E$132),0))</f>
        <v>0</v>
      </c>
      <c r="AJ202" s="297">
        <f>IF(AND(AJ$2&lt;Inputs!$Q$51,(AJ$2+$E$202)&gt;=Inputs!$Q$51),$E$132/MIN($E202,(Inputs!$Q$51-1)),IF(AJ$2=Inputs!$Q$51,-($E$132),0))</f>
        <v>0</v>
      </c>
    </row>
    <row r="203" spans="2:36" ht="16">
      <c r="B203" s="279" t="s">
        <v>398</v>
      </c>
      <c r="C203" s="279"/>
      <c r="D203" s="672" t="s">
        <v>400</v>
      </c>
      <c r="E203" s="673">
        <v>10</v>
      </c>
      <c r="F203" s="321">
        <v>0</v>
      </c>
      <c r="G203" s="297">
        <f>IF(AND(G$2&lt;Inputs!$Q$53,(G$2+$E$203)&gt;=Inputs!$Q$53),$E$135/MIN($E203,(Inputs!$Q$53-1)),IF(G$2=Inputs!$Q$53,-($E$135),0))</f>
        <v>0</v>
      </c>
      <c r="H203" s="297">
        <f>IF(AND(H$2&lt;Inputs!$Q$53,(H$2+$E$203)&gt;=Inputs!$Q$53),$E$135/MIN($E203,(Inputs!$Q$53-1)),IF(H$2=Inputs!$Q$53,-($E$135),0))</f>
        <v>0</v>
      </c>
      <c r="I203" s="297">
        <f>IF(AND(I$2&lt;Inputs!$Q$53,(I$2+$E$203)&gt;=Inputs!$Q$53),$E$135/MIN($E203,(Inputs!$Q$53-1)),IF(I$2=Inputs!$Q$53,-($E$135),0))</f>
        <v>0</v>
      </c>
      <c r="J203" s="297">
        <f>IF(AND(J$2&lt;Inputs!$Q$53,(J$2+$E$203)&gt;=Inputs!$Q$53),$E$135/MIN($E203,(Inputs!$Q$53-1)),IF(J$2=Inputs!$Q$53,-($E$135),0))</f>
        <v>0</v>
      </c>
      <c r="K203" s="297">
        <f>IF(AND(K$2&lt;Inputs!$Q$53,(K$2+$E$203)&gt;=Inputs!$Q$53),$E$135/MIN($E203,(Inputs!$Q$53-1)),IF(K$2=Inputs!$Q$53,-($E$135),0))</f>
        <v>0</v>
      </c>
      <c r="L203" s="297">
        <f>IF(AND(L$2&lt;Inputs!$Q$53,(L$2+$E$203)&gt;=Inputs!$Q$53),$E$135/MIN($E203,(Inputs!$Q$53-1)),IF(L$2=Inputs!$Q$53,-($E$135),0))</f>
        <v>0</v>
      </c>
      <c r="M203" s="297">
        <f>IF(AND(M$2&lt;Inputs!$Q$53,(M$2+$E$203)&gt;=Inputs!$Q$53),$E$135/MIN($E203,(Inputs!$Q$53-1)),IF(M$2=Inputs!$Q$53,-($E$135),0))</f>
        <v>0</v>
      </c>
      <c r="N203" s="297">
        <f>IF(AND(N$2&lt;Inputs!$Q$53,(N$2+$E$203)&gt;=Inputs!$Q$53),$E$135/MIN($E203,(Inputs!$Q$53-1)),IF(N$2=Inputs!$Q$53,-($E$135),0))</f>
        <v>0</v>
      </c>
      <c r="O203" s="297">
        <f>IF(AND(O$2&lt;Inputs!$Q$53,(O$2+$E$203)&gt;=Inputs!$Q$53),$E$135/MIN($E203,(Inputs!$Q$53-1)),IF(O$2=Inputs!$Q$53,-($E$135),0))</f>
        <v>0</v>
      </c>
      <c r="P203" s="297">
        <f>IF(AND(P$2&lt;Inputs!$Q$53,(P$2+$E$203)&gt;=Inputs!$Q$53),$E$135/MIN($E203,(Inputs!$Q$53-1)),IF(P$2=Inputs!$Q$53,-($E$135),0))</f>
        <v>0</v>
      </c>
      <c r="Q203" s="297">
        <f>IF(AND(Q$2&lt;Inputs!$Q$53,(Q$2+$E$203)&gt;=Inputs!$Q$53),$E$135/MIN($E203,(Inputs!$Q$53-1)),IF(Q$2=Inputs!$Q$53,-($E$135),0))</f>
        <v>0</v>
      </c>
      <c r="R203" s="297">
        <f>IF(AND(R$2&lt;Inputs!$Q$53,(R$2+$E$203)&gt;=Inputs!$Q$53),$E$135/MIN($E203,(Inputs!$Q$53-1)),IF(R$2=Inputs!$Q$53,-($E$135),0))</f>
        <v>0</v>
      </c>
      <c r="S203" s="297">
        <f>IF(AND(S$2&lt;Inputs!$Q$53,(S$2+$E$203)&gt;=Inputs!$Q$53),$E$135/MIN($E203,(Inputs!$Q$53-1)),IF(S$2=Inputs!$Q$53,-($E$135),0))</f>
        <v>0</v>
      </c>
      <c r="T203" s="297">
        <f>IF(AND(T$2&lt;Inputs!$Q$53,(T$2+$E$203)&gt;=Inputs!$Q$53),$E$135/MIN($E203,(Inputs!$Q$53-1)),IF(T$2=Inputs!$Q$53,-($E$135),0))</f>
        <v>0</v>
      </c>
      <c r="U203" s="297">
        <f>IF(AND(U$2&lt;Inputs!$Q$53,(U$2+$E$203)&gt;=Inputs!$Q$53),$E$135/MIN($E203,(Inputs!$Q$53-1)),IF(U$2=Inputs!$Q$53,-($E$135),0))</f>
        <v>0</v>
      </c>
      <c r="V203" s="297">
        <f>IF(AND(V$2&lt;Inputs!$Q$53,(V$2+$E$203)&gt;=Inputs!$Q$53),$E$135/MIN($E203,(Inputs!$Q$53-1)),IF(V$2=Inputs!$Q$53,-($E$135),0))</f>
        <v>0</v>
      </c>
      <c r="W203" s="297">
        <f>IF(AND(W$2&lt;Inputs!$Q$53,(W$2+$E$203)&gt;=Inputs!$Q$53),$E$135/MIN($E203,(Inputs!$Q$53-1)),IF(W$2=Inputs!$Q$53,-($E$135),0))</f>
        <v>0</v>
      </c>
      <c r="X203" s="297">
        <f>IF(AND(X$2&lt;Inputs!$Q$53,(X$2+$E$203)&gt;=Inputs!$Q$53),$E$135/MIN($E203,(Inputs!$Q$53-1)),IF(X$2=Inputs!$Q$53,-($E$135),0))</f>
        <v>0</v>
      </c>
      <c r="Y203" s="297">
        <f>IF(AND(Y$2&lt;Inputs!$Q$53,(Y$2+$E$203)&gt;=Inputs!$Q$53),$E$135/MIN($E203,(Inputs!$Q$53-1)),IF(Y$2=Inputs!$Q$53,-($E$135),0))</f>
        <v>0</v>
      </c>
      <c r="Z203" s="297">
        <f>IF(AND(Z$2&lt;Inputs!$Q$53,(Z$2+$E$203)&gt;=Inputs!$Q$53),$E$135/MIN($E203,(Inputs!$Q$53-1)),IF(Z$2=Inputs!$Q$53,-($E$135),0))</f>
        <v>0</v>
      </c>
      <c r="AA203" s="297">
        <f>IF(AND(AA$2&lt;Inputs!$Q$53,(AA$2+$E$203)&gt;=Inputs!$Q$53),$E$135/MIN($E203,(Inputs!$Q$53-1)),IF(AA$2=Inputs!$Q$53,-($E$135),0))</f>
        <v>0</v>
      </c>
      <c r="AB203" s="297">
        <f>IF(AND(AB$2&lt;Inputs!$Q$53,(AB$2+$E$203)&gt;=Inputs!$Q$53),$E$135/MIN($E203,(Inputs!$Q$53-1)),IF(AB$2=Inputs!$Q$53,-($E$135),0))</f>
        <v>0</v>
      </c>
      <c r="AC203" s="297">
        <f>IF(AND(AC$2&lt;Inputs!$Q$53,(AC$2+$E$203)&gt;=Inputs!$Q$53),$E$135/MIN($E203,(Inputs!$Q$53-1)),IF(AC$2=Inputs!$Q$53,-($E$135),0))</f>
        <v>0</v>
      </c>
      <c r="AD203" s="297">
        <f>IF(AND(AD$2&lt;Inputs!$Q$53,(AD$2+$E$203)&gt;=Inputs!$Q$53),$E$135/MIN($E203,(Inputs!$Q$53-1)),IF(AD$2=Inputs!$Q$53,-($E$135),0))</f>
        <v>0</v>
      </c>
      <c r="AE203" s="297">
        <f>IF(AND(AE$2&lt;Inputs!$Q$53,(AE$2+$E$203)&gt;=Inputs!$Q$53),$E$135/MIN($E203,(Inputs!$Q$53-1)),IF(AE$2=Inputs!$Q$53,-($E$135),0))</f>
        <v>0</v>
      </c>
      <c r="AF203" s="297">
        <f>IF(AND(AF$2&lt;Inputs!$Q$53,(AF$2+$E$203)&gt;=Inputs!$Q$53),$E$135/MIN($E203,(Inputs!$Q$53-1)),IF(AF$2=Inputs!$Q$53,-($E$135),0))</f>
        <v>0</v>
      </c>
      <c r="AG203" s="297">
        <f>IF(AND(AG$2&lt;Inputs!$Q$53,(AG$2+$E$203)&gt;=Inputs!$Q$53),$E$135/MIN($E203,(Inputs!$Q$53-1)),IF(AG$2=Inputs!$Q$53,-($E$135),0))</f>
        <v>0</v>
      </c>
      <c r="AH203" s="297">
        <f>IF(AND(AH$2&lt;Inputs!$Q$53,(AH$2+$E$203)&gt;=Inputs!$Q$53),$E$135/MIN($E203,(Inputs!$Q$53-1)),IF(AH$2=Inputs!$Q$53,-($E$135),0))</f>
        <v>0</v>
      </c>
      <c r="AI203" s="297">
        <f>IF(AND(AI$2&lt;Inputs!$Q$53,(AI$2+$E$203)&gt;=Inputs!$Q$53),$E$135/MIN($E203,(Inputs!$Q$53-1)),IF(AI$2=Inputs!$Q$53,-($E$135),0))</f>
        <v>0</v>
      </c>
      <c r="AJ203" s="297">
        <f>IF(AND(AJ$2&lt;Inputs!$Q$53,(AJ$2+$E$203)&gt;=Inputs!$Q$53),$E$135/MIN($E203,(Inputs!$Q$53-1)),IF(AJ$2=Inputs!$Q$53,-($E$135),0))</f>
        <v>0</v>
      </c>
    </row>
    <row r="204" spans="2:36" ht="16">
      <c r="B204" s="279" t="s">
        <v>399</v>
      </c>
      <c r="C204" s="279"/>
      <c r="D204" s="672" t="s">
        <v>400</v>
      </c>
      <c r="E204" s="673">
        <v>10</v>
      </c>
      <c r="F204" s="321">
        <v>0</v>
      </c>
      <c r="G204" s="297">
        <f>IF(AND(G$2&lt;Inputs!$Q$55,(G$2+$E$204)&gt;=Inputs!$Q$55),$E$138/MIN($E204,(Inputs!$Q$55-1)),IF(G$2=Inputs!$Q$55,-($E$138),0))</f>
        <v>0</v>
      </c>
      <c r="H204" s="297">
        <f>IF(AND(H$2&lt;Inputs!$Q$55,(H$2+$E$204)&gt;=Inputs!$Q$55),$E$138/MIN($E204,(Inputs!$Q$55-1)),IF(H$2=Inputs!$Q$55,-($E$138),0))</f>
        <v>0</v>
      </c>
      <c r="I204" s="297">
        <f>IF(AND(I$2&lt;Inputs!$Q$55,(I$2+$E$204)&gt;=Inputs!$Q$55),$E$138/MIN($E204,(Inputs!$Q$55-1)),IF(I$2=Inputs!$Q$55,-($E$138),0))</f>
        <v>0</v>
      </c>
      <c r="J204" s="297">
        <f>IF(AND(J$2&lt;Inputs!$Q$55,(J$2+$E$204)&gt;=Inputs!$Q$55),$E$138/MIN($E204,(Inputs!$Q$55-1)),IF(J$2=Inputs!$Q$55,-($E$138),0))</f>
        <v>0</v>
      </c>
      <c r="K204" s="297">
        <f>IF(AND(K$2&lt;Inputs!$Q$55,(K$2+$E$204)&gt;=Inputs!$Q$55),$E$138/MIN($E204,(Inputs!$Q$55-1)),IF(K$2=Inputs!$Q$55,-($E$138),0))</f>
        <v>0</v>
      </c>
      <c r="L204" s="297">
        <f>IF(AND(L$2&lt;Inputs!$Q$55,(L$2+$E$204)&gt;=Inputs!$Q$55),$E$138/MIN($E204,(Inputs!$Q$55-1)),IF(L$2=Inputs!$Q$55,-($E$138),0))</f>
        <v>0</v>
      </c>
      <c r="M204" s="297">
        <f>IF(AND(M$2&lt;Inputs!$Q$55,(M$2+$E$204)&gt;=Inputs!$Q$55),$E$138/MIN($E204,(Inputs!$Q$55-1)),IF(M$2=Inputs!$Q$55,-($E$138),0))</f>
        <v>0</v>
      </c>
      <c r="N204" s="297">
        <f>IF(AND(N$2&lt;Inputs!$Q$55,(N$2+$E$204)&gt;=Inputs!$Q$55),$E$138/MIN($E204,(Inputs!$Q$55-1)),IF(N$2=Inputs!$Q$55,-($E$138),0))</f>
        <v>0</v>
      </c>
      <c r="O204" s="297">
        <f>IF(AND(O$2&lt;Inputs!$Q$55,(O$2+$E$204)&gt;=Inputs!$Q$55),$E$138/MIN($E204,(Inputs!$Q$55-1)),IF(O$2=Inputs!$Q$55,-($E$138),0))</f>
        <v>0</v>
      </c>
      <c r="P204" s="297">
        <f>IF(AND(P$2&lt;Inputs!$Q$55,(P$2+$E$204)&gt;=Inputs!$Q$55),$E$138/MIN($E204,(Inputs!$Q$55-1)),IF(P$2=Inputs!$Q$55,-($E$138),0))</f>
        <v>0</v>
      </c>
      <c r="Q204" s="297">
        <f>IF(AND(Q$2&lt;Inputs!$Q$55,(Q$2+$E$204)&gt;=Inputs!$Q$55),$E$138/MIN($E204,(Inputs!$Q$55-1)),IF(Q$2=Inputs!$Q$55,-($E$138),0))</f>
        <v>0</v>
      </c>
      <c r="R204" s="297">
        <f>IF(AND(R$2&lt;Inputs!$Q$55,(R$2+$E$204)&gt;=Inputs!$Q$55),$E$138/MIN($E204,(Inputs!$Q$55-1)),IF(R$2=Inputs!$Q$55,-($E$138),0))</f>
        <v>0</v>
      </c>
      <c r="S204" s="297">
        <f>IF(AND(S$2&lt;Inputs!$Q$55,(S$2+$E$204)&gt;=Inputs!$Q$55),$E$138/MIN($E204,(Inputs!$Q$55-1)),IF(S$2=Inputs!$Q$55,-($E$138),0))</f>
        <v>0</v>
      </c>
      <c r="T204" s="297">
        <f>IF(AND(T$2&lt;Inputs!$Q$55,(T$2+$E$204)&gt;=Inputs!$Q$55),$E$138/MIN($E204,(Inputs!$Q$55-1)),IF(T$2=Inputs!$Q$55,-($E$138),0))</f>
        <v>0</v>
      </c>
      <c r="U204" s="297">
        <f>IF(AND(U$2&lt;Inputs!$Q$55,(U$2+$E$204)&gt;=Inputs!$Q$55),$E$138/MIN($E204,(Inputs!$Q$55-1)),IF(U$2=Inputs!$Q$55,-($E$138),0))</f>
        <v>0</v>
      </c>
      <c r="V204" s="297">
        <f>IF(AND(V$2&lt;Inputs!$Q$55,(V$2+$E$204)&gt;=Inputs!$Q$55),$E$138/MIN($E204,(Inputs!$Q$55-1)),IF(V$2=Inputs!$Q$55,-($E$138),0))</f>
        <v>0</v>
      </c>
      <c r="W204" s="297">
        <f>IF(AND(W$2&lt;Inputs!$Q$55,(W$2+$E$204)&gt;=Inputs!$Q$55),$E$138/MIN($E204,(Inputs!$Q$55-1)),IF(W$2=Inputs!$Q$55,-($E$138),0))</f>
        <v>0</v>
      </c>
      <c r="X204" s="297">
        <f>IF(AND(X$2&lt;Inputs!$Q$55,(X$2+$E$204)&gt;=Inputs!$Q$55),$E$138/MIN($E204,(Inputs!$Q$55-1)),IF(X$2=Inputs!$Q$55,-($E$138),0))</f>
        <v>0</v>
      </c>
      <c r="Y204" s="297">
        <f>IF(AND(Y$2&lt;Inputs!$Q$55,(Y$2+$E$204)&gt;=Inputs!$Q$55),$E$138/MIN($E204,(Inputs!$Q$55-1)),IF(Y$2=Inputs!$Q$55,-($E$138),0))</f>
        <v>0</v>
      </c>
      <c r="Z204" s="297">
        <f>IF(AND(Z$2&lt;Inputs!$Q$55,(Z$2+$E$204)&gt;=Inputs!$Q$55),$E$138/MIN($E204,(Inputs!$Q$55-1)),IF(Z$2=Inputs!$Q$55,-($E$138),0))</f>
        <v>0</v>
      </c>
      <c r="AA204" s="297">
        <f>IF(AND(AA$2&lt;Inputs!$Q$55,(AA$2+$E$204)&gt;=Inputs!$Q$55),$E$138/MIN($E204,(Inputs!$Q$55-1)),IF(AA$2=Inputs!$Q$55,-($E$138),0))</f>
        <v>0</v>
      </c>
      <c r="AB204" s="297">
        <f>IF(AND(AB$2&lt;Inputs!$Q$55,(AB$2+$E$204)&gt;=Inputs!$Q$55),$E$138/MIN($E204,(Inputs!$Q$55-1)),IF(AB$2=Inputs!$Q$55,-($E$138),0))</f>
        <v>0</v>
      </c>
      <c r="AC204" s="297">
        <f>IF(AND(AC$2&lt;Inputs!$Q$55,(AC$2+$E$204)&gt;=Inputs!$Q$55),$E$138/MIN($E204,(Inputs!$Q$55-1)),IF(AC$2=Inputs!$Q$55,-($E$138),0))</f>
        <v>0</v>
      </c>
      <c r="AD204" s="297">
        <f>IF(AND(AD$2&lt;Inputs!$Q$55,(AD$2+$E$204)&gt;=Inputs!$Q$55),$E$138/MIN($E204,(Inputs!$Q$55-1)),IF(AD$2=Inputs!$Q$55,-($E$138),0))</f>
        <v>0</v>
      </c>
      <c r="AE204" s="297">
        <f>IF(AND(AE$2&lt;Inputs!$Q$55,(AE$2+$E$204)&gt;=Inputs!$Q$55),$E$138/MIN($E204,(Inputs!$Q$55-1)),IF(AE$2=Inputs!$Q$55,-($E$138),0))</f>
        <v>0</v>
      </c>
      <c r="AF204" s="297">
        <f>IF(AND(AF$2&lt;Inputs!$Q$55,(AF$2+$E$204)&gt;=Inputs!$Q$55),$E$138/MIN($E204,(Inputs!$Q$55-1)),IF(AF$2=Inputs!$Q$55,-($E$138),0))</f>
        <v>0</v>
      </c>
      <c r="AG204" s="297">
        <f>IF(AND(AG$2&lt;Inputs!$Q$55,(AG$2+$E$204)&gt;=Inputs!$Q$55),$E$138/MIN($E204,(Inputs!$Q$55-1)),IF(AG$2=Inputs!$Q$55,-($E$138),0))</f>
        <v>0</v>
      </c>
      <c r="AH204" s="297">
        <f>IF(AND(AH$2&lt;Inputs!$Q$55,(AH$2+$E$204)&gt;=Inputs!$Q$55),$E$138/MIN($E204,(Inputs!$Q$55-1)),IF(AH$2=Inputs!$Q$55,-($E$138),0))</f>
        <v>0</v>
      </c>
      <c r="AI204" s="297">
        <f>IF(AND(AI$2&lt;Inputs!$Q$55,(AI$2+$E$204)&gt;=Inputs!$Q$55),$E$138/MIN($E204,(Inputs!$Q$55-1)),IF(AI$2=Inputs!$Q$55,-($E$138),0))</f>
        <v>0</v>
      </c>
      <c r="AJ204" s="297">
        <f>IF(AND(AJ$2&lt;Inputs!$Q$55,(AJ$2+$E$204)&gt;=Inputs!$Q$55),$E$138/MIN($E204,(Inputs!$Q$55-1)),IF(AJ$2=Inputs!$Q$55,-($E$138),0))</f>
        <v>0</v>
      </c>
    </row>
    <row r="205" spans="2:36" ht="16">
      <c r="B205" s="279" t="s">
        <v>44</v>
      </c>
      <c r="C205" s="279"/>
      <c r="D205" s="279"/>
      <c r="E205" s="304"/>
      <c r="F205" s="321">
        <v>0</v>
      </c>
      <c r="G205" s="297">
        <f>IF(OR(G$2&gt;Inputs!$G$11,Inputs!$Q$60="salvage"),0,Inputs!$Q$61/Inputs!$Q$7)</f>
        <v>25000</v>
      </c>
      <c r="H205" s="297">
        <f>IF(OR(H$2&gt;Inputs!$G$11,Inputs!$Q$60="salvage"),0,Inputs!$Q$61/Inputs!$Q$7)</f>
        <v>25000</v>
      </c>
      <c r="I205" s="297">
        <f>IF(OR(I$2&gt;Inputs!$G$11,Inputs!$Q$60="salvage"),0,Inputs!$Q$61/Inputs!$Q$7)</f>
        <v>25000</v>
      </c>
      <c r="J205" s="297">
        <f>IF(OR(J$2&gt;Inputs!$G$11,Inputs!$Q$60="salvage"),0,Inputs!$Q$61/Inputs!$Q$7)</f>
        <v>25000</v>
      </c>
      <c r="K205" s="297">
        <f>IF(OR(K$2&gt;Inputs!$G$11,Inputs!$Q$60="salvage"),0,Inputs!$Q$61/Inputs!$Q$7)</f>
        <v>25000</v>
      </c>
      <c r="L205" s="297">
        <f>IF(OR(L$2&gt;Inputs!$G$11,Inputs!$Q$60="salvage"),0,Inputs!$Q$61/Inputs!$Q$7)</f>
        <v>25000</v>
      </c>
      <c r="M205" s="297">
        <f>IF(OR(M$2&gt;Inputs!$G$11,Inputs!$Q$60="salvage"),0,Inputs!$Q$61/Inputs!$Q$7)</f>
        <v>25000</v>
      </c>
      <c r="N205" s="297">
        <f>IF(OR(N$2&gt;Inputs!$G$11,Inputs!$Q$60="salvage"),0,Inputs!$Q$61/Inputs!$Q$7)</f>
        <v>25000</v>
      </c>
      <c r="O205" s="297">
        <f>IF(OR(O$2&gt;Inputs!$G$11,Inputs!$Q$60="salvage"),0,Inputs!$Q$61/Inputs!$Q$7)</f>
        <v>25000</v>
      </c>
      <c r="P205" s="297">
        <f>IF(OR(P$2&gt;Inputs!$G$11,Inputs!$Q$60="salvage"),0,Inputs!$Q$61/Inputs!$Q$7)</f>
        <v>25000</v>
      </c>
      <c r="Q205" s="297">
        <f>IF(OR(Q$2&gt;Inputs!$G$11,Inputs!$Q$60="salvage"),0,Inputs!$Q$61/Inputs!$Q$7)</f>
        <v>25000</v>
      </c>
      <c r="R205" s="297">
        <f>IF(OR(R$2&gt;Inputs!$G$11,Inputs!$Q$60="salvage"),0,Inputs!$Q$61/Inputs!$Q$7)</f>
        <v>25000</v>
      </c>
      <c r="S205" s="297">
        <f>IF(OR(S$2&gt;Inputs!$G$11,Inputs!$Q$60="salvage"),0,Inputs!$Q$61/Inputs!$Q$7)</f>
        <v>25000</v>
      </c>
      <c r="T205" s="297">
        <f>IF(OR(T$2&gt;Inputs!$G$11,Inputs!$Q$60="salvage"),0,Inputs!$Q$61/Inputs!$Q$7)</f>
        <v>25000</v>
      </c>
      <c r="U205" s="297">
        <f>IF(OR(U$2&gt;Inputs!$G$11,Inputs!$Q$60="salvage"),0,Inputs!$Q$61/Inputs!$Q$7)</f>
        <v>25000</v>
      </c>
      <c r="V205" s="297">
        <f>IF(OR(V$2&gt;Inputs!$G$11,Inputs!$Q$60="salvage"),0,Inputs!$Q$61/Inputs!$Q$7)</f>
        <v>25000</v>
      </c>
      <c r="W205" s="297">
        <f>IF(OR(W$2&gt;Inputs!$G$11,Inputs!$Q$60="salvage"),0,Inputs!$Q$61/Inputs!$Q$7)</f>
        <v>25000</v>
      </c>
      <c r="X205" s="297">
        <f>IF(OR(X$2&gt;Inputs!$G$11,Inputs!$Q$60="salvage"),0,Inputs!$Q$61/Inputs!$Q$7)</f>
        <v>25000</v>
      </c>
      <c r="Y205" s="297">
        <f>IF(OR(Y$2&gt;Inputs!$G$11,Inputs!$Q$60="salvage"),0,Inputs!$Q$61/Inputs!$Q$7)</f>
        <v>25000</v>
      </c>
      <c r="Z205" s="297">
        <f>IF(OR(Z$2&gt;Inputs!$G$11,Inputs!$Q$60="salvage"),0,Inputs!$Q$61/Inputs!$Q$7)</f>
        <v>25000</v>
      </c>
      <c r="AA205" s="297">
        <f>IF(OR(AA$2&gt;Inputs!$G$11,Inputs!$Q$60="salvage"),0,Inputs!$Q$61/Inputs!$Q$7)</f>
        <v>0</v>
      </c>
      <c r="AB205" s="297">
        <f>IF(OR(AB$2&gt;Inputs!$G$11,Inputs!$Q$60="salvage"),0,Inputs!$Q$61/Inputs!$Q$7)</f>
        <v>0</v>
      </c>
      <c r="AC205" s="297">
        <f>IF(OR(AC$2&gt;Inputs!$G$11,Inputs!$Q$60="salvage"),0,Inputs!$Q$61/Inputs!$Q$7)</f>
        <v>0</v>
      </c>
      <c r="AD205" s="297">
        <f>IF(OR(AD$2&gt;Inputs!$G$11,Inputs!$Q$60="salvage"),0,Inputs!$Q$61/Inputs!$Q$7)</f>
        <v>0</v>
      </c>
      <c r="AE205" s="297">
        <f>IF(OR(AE$2&gt;Inputs!$G$11,Inputs!$Q$60="salvage"),0,Inputs!$Q$61/Inputs!$Q$7)</f>
        <v>0</v>
      </c>
      <c r="AF205" s="297">
        <f>IF(OR(AF$2&gt;Inputs!$G$11,Inputs!$Q$60="salvage"),0,Inputs!$Q$61/Inputs!$Q$7)</f>
        <v>0</v>
      </c>
      <c r="AG205" s="297">
        <f>IF(OR(AG$2&gt;Inputs!$G$11,Inputs!$Q$60="salvage"),0,Inputs!$Q$61/Inputs!$Q$7)</f>
        <v>0</v>
      </c>
      <c r="AH205" s="297">
        <f>IF(OR(AH$2&gt;Inputs!$G$11,Inputs!$Q$60="salvage"),0,Inputs!$Q$61/Inputs!$Q$7)</f>
        <v>0</v>
      </c>
      <c r="AI205" s="297">
        <f>IF(OR(AI$2&gt;Inputs!$G$11,Inputs!$Q$60="salvage"),0,Inputs!$Q$61/Inputs!$Q$7)</f>
        <v>0</v>
      </c>
      <c r="AJ205" s="297">
        <f>IF(OR(AJ$2&gt;Inputs!$G$11,Inputs!$Q$60="salvage"),0,Inputs!$Q$61/Inputs!$Q$7)</f>
        <v>0</v>
      </c>
    </row>
    <row r="206" spans="2:36" ht="16">
      <c r="B206" s="260" t="s">
        <v>91</v>
      </c>
      <c r="C206" s="260"/>
      <c r="D206" s="260"/>
      <c r="E206" s="304"/>
      <c r="F206" s="297">
        <f>IF(F$2&gt;Inputs!$G$11,0,SUM(F198:F205))</f>
        <v>1262906.6212895242</v>
      </c>
      <c r="G206" s="297">
        <f>IF(G$2&gt;Inputs!$G$11,0,SUM(G198:G205))</f>
        <v>1287906.6212895242</v>
      </c>
      <c r="H206" s="297">
        <f>IF(H$2&gt;Inputs!$G$11,0,SUM(H198:H205))</f>
        <v>1312906.6212895242</v>
      </c>
      <c r="I206" s="297">
        <f>IF(I$2&gt;Inputs!$G$11,0,SUM(I198:I205))</f>
        <v>1337906.6212895242</v>
      </c>
      <c r="J206" s="297">
        <f>IF(J$2&gt;Inputs!$G$11,0,SUM(J198:J205))</f>
        <v>1362906.6212895242</v>
      </c>
      <c r="K206" s="297">
        <f>IF(K$2&gt;Inputs!$G$11,0,SUM(K198:K205))</f>
        <v>1387906.6212895242</v>
      </c>
      <c r="L206" s="297">
        <f>IF(L$2&gt;Inputs!$G$11,0,SUM(L198:L205))</f>
        <v>1412906.6212895242</v>
      </c>
      <c r="M206" s="297">
        <f>IF(M$2&gt;Inputs!$G$11,0,SUM(M198:M205))</f>
        <v>1437906.6212895242</v>
      </c>
      <c r="N206" s="297">
        <f>IF(N$2&gt;Inputs!$G$11,0,SUM(N198:N205))</f>
        <v>1462906.6212895242</v>
      </c>
      <c r="O206" s="297">
        <f>IF(O$2&gt;Inputs!$G$11,0,SUM(O198:O205))</f>
        <v>1487906.6212895242</v>
      </c>
      <c r="P206" s="297">
        <f>IF(P$2&gt;Inputs!$G$11,0,SUM(P198:P205))</f>
        <v>1512906.6212895242</v>
      </c>
      <c r="Q206" s="297">
        <f>IF(Q$2&gt;Inputs!$G$11,0,SUM(Q198:Q205))</f>
        <v>1537906.6212895242</v>
      </c>
      <c r="R206" s="297">
        <f>IF(R$2&gt;Inputs!$G$11,0,SUM(R198:R205))</f>
        <v>1562906.6212895242</v>
      </c>
      <c r="S206" s="297">
        <f>IF(S$2&gt;Inputs!$G$11,0,SUM(S198:S205))</f>
        <v>1587906.6212895242</v>
      </c>
      <c r="T206" s="297">
        <f>IF(T$2&gt;Inputs!$G$11,0,SUM(T198:T205))</f>
        <v>1612906.6212895242</v>
      </c>
      <c r="U206" s="297">
        <f>IF(U$2&gt;Inputs!$G$11,0,SUM(U198:U205))</f>
        <v>1637906.6212895242</v>
      </c>
      <c r="V206" s="297">
        <f>IF(V$2&gt;Inputs!$G$11,0,SUM(V198:V205))</f>
        <v>976690.21690823336</v>
      </c>
      <c r="W206" s="297">
        <f>IF(W$2&gt;Inputs!$G$11,0,SUM(W198:W205))</f>
        <v>1001690.2169082334</v>
      </c>
      <c r="X206" s="297">
        <f>IF(X$2&gt;Inputs!$G$11,0,SUM(X198:X205))</f>
        <v>1026690.2169082334</v>
      </c>
      <c r="Y206" s="297">
        <f>IF(Y$2&gt;Inputs!$G$11,0,SUM(Y198:Y205))</f>
        <v>1051690.2169082332</v>
      </c>
      <c r="Z206" s="297">
        <f>IF(Z$2&gt;Inputs!$G$11,0,SUM(Z198:Z205))</f>
        <v>499999.99999999977</v>
      </c>
      <c r="AA206" s="297">
        <f>IF(AA$2&gt;Inputs!$G$11,0,SUM(AA198:AA205))</f>
        <v>0</v>
      </c>
      <c r="AB206" s="297">
        <f>IF(AB$2&gt;Inputs!$G$11,0,SUM(AB198:AB205))</f>
        <v>0</v>
      </c>
      <c r="AC206" s="297">
        <f>IF(AC$2&gt;Inputs!$G$11,0,SUM(AC198:AC205))</f>
        <v>0</v>
      </c>
      <c r="AD206" s="297">
        <f>IF(AD$2&gt;Inputs!$G$11,0,SUM(AD198:AD205))</f>
        <v>0</v>
      </c>
      <c r="AE206" s="297">
        <f>IF(AE$2&gt;Inputs!$G$11,0,SUM(AE198:AE205))</f>
        <v>0</v>
      </c>
      <c r="AF206" s="297">
        <f>IF(AF$2&gt;Inputs!$G$11,0,SUM(AF198:AF205))</f>
        <v>0</v>
      </c>
      <c r="AG206" s="297">
        <f>IF(AG$2&gt;Inputs!$G$11,0,SUM(AG198:AG205))</f>
        <v>0</v>
      </c>
      <c r="AH206" s="297">
        <f>IF(AH$2&gt;Inputs!$G$11,0,SUM(AH198:AH205))</f>
        <v>0</v>
      </c>
      <c r="AI206" s="297">
        <f>IF(AI$2&gt;Inputs!$G$11,0,SUM(AI198:AI205))</f>
        <v>0</v>
      </c>
      <c r="AJ206" s="297">
        <f>IF(AJ$2&gt;Inputs!$G$11,0,SUM(AJ198:AJ205))</f>
        <v>0</v>
      </c>
    </row>
    <row r="207" spans="2:36" ht="16">
      <c r="B207" s="259"/>
      <c r="C207" s="259"/>
      <c r="D207" s="259"/>
      <c r="E207" s="304"/>
      <c r="F207" s="297"/>
      <c r="G207" s="297"/>
      <c r="H207" s="297"/>
      <c r="I207" s="297"/>
      <c r="J207" s="297"/>
      <c r="K207" s="297"/>
      <c r="L207" s="297"/>
      <c r="M207" s="297"/>
      <c r="N207" s="304"/>
      <c r="O207" s="304"/>
      <c r="P207" s="304"/>
      <c r="Q207" s="304"/>
      <c r="R207" s="304"/>
      <c r="S207" s="304"/>
      <c r="T207" s="304"/>
      <c r="U207" s="304"/>
      <c r="V207" s="304"/>
      <c r="W207" s="304"/>
      <c r="X207" s="304"/>
      <c r="Y207" s="304"/>
      <c r="Z207" s="304"/>
      <c r="AA207" s="304"/>
      <c r="AB207" s="304"/>
      <c r="AC207" s="304"/>
      <c r="AD207" s="304"/>
      <c r="AE207" s="304"/>
      <c r="AF207" s="304"/>
      <c r="AG207" s="304"/>
      <c r="AH207" s="304"/>
      <c r="AI207" s="304"/>
      <c r="AJ207" s="304"/>
    </row>
    <row r="208" spans="2:36" ht="16">
      <c r="B208" s="260" t="s">
        <v>197</v>
      </c>
      <c r="C208" s="260"/>
      <c r="D208" s="260"/>
      <c r="E208" s="304"/>
      <c r="F208" s="297"/>
      <c r="G208" s="297">
        <f>AVERAGE(G198,G206)*Inputs!$Q$70</f>
        <v>19131.099319342862</v>
      </c>
      <c r="H208" s="297">
        <f>AVERAGE(H198,H206)*Inputs!$Q$70</f>
        <v>19506.099319342862</v>
      </c>
      <c r="I208" s="297">
        <f>AVERAGE(I198,I206)*Inputs!$Q$70</f>
        <v>19881.099319342862</v>
      </c>
      <c r="J208" s="297">
        <f>AVERAGE(J198,J206)*Inputs!$Q$70</f>
        <v>20256.099319342862</v>
      </c>
      <c r="K208" s="297">
        <f>AVERAGE(K198,K206)*Inputs!$Q$70</f>
        <v>20631.099319342862</v>
      </c>
      <c r="L208" s="297">
        <f>AVERAGE(L198,L206)*Inputs!$Q$70</f>
        <v>21006.099319342862</v>
      </c>
      <c r="M208" s="297">
        <f>AVERAGE(M198,M206)*Inputs!$Q$70</f>
        <v>21381.099319342862</v>
      </c>
      <c r="N208" s="297">
        <f>AVERAGE(N198,N206)*Inputs!$Q$70</f>
        <v>21756.099319342862</v>
      </c>
      <c r="O208" s="297">
        <f>AVERAGE(O198,O206)*Inputs!$Q$70</f>
        <v>22131.099319342862</v>
      </c>
      <c r="P208" s="297">
        <f>AVERAGE(P198,P206)*Inputs!$Q$70</f>
        <v>22506.099319342862</v>
      </c>
      <c r="Q208" s="297">
        <f>AVERAGE(Q198,Q206)*Inputs!$Q$70</f>
        <v>22881.099319342862</v>
      </c>
      <c r="R208" s="297">
        <f>AVERAGE(R198,R206)*Inputs!$Q$70</f>
        <v>23256.099319342862</v>
      </c>
      <c r="S208" s="297">
        <f>AVERAGE(S198,S206)*Inputs!$Q$70</f>
        <v>23631.099319342862</v>
      </c>
      <c r="T208" s="297">
        <f>AVERAGE(T198,T206)*Inputs!$Q$70</f>
        <v>24006.099319342862</v>
      </c>
      <c r="U208" s="297">
        <f>AVERAGE(U198,U206)*Inputs!$Q$70</f>
        <v>24381.099319342862</v>
      </c>
      <c r="V208" s="297">
        <f>AVERAGE(V198,V206)*Inputs!$Q$70</f>
        <v>19609.476286483179</v>
      </c>
      <c r="W208" s="297">
        <f>AVERAGE(W198,W206)*Inputs!$Q$70</f>
        <v>14837.8532536235</v>
      </c>
      <c r="X208" s="297">
        <f>AVERAGE(X198,X206)*Inputs!$Q$70</f>
        <v>15212.8532536235</v>
      </c>
      <c r="Y208" s="297">
        <f>AVERAGE(Y198,Y206)*Inputs!$Q$70</f>
        <v>15587.853253623498</v>
      </c>
      <c r="Z208" s="297">
        <f>AVERAGE(Z198,Z206)*Inputs!$Q$70</f>
        <v>11637.676626811746</v>
      </c>
      <c r="AA208" s="297">
        <f>AVERAGE(AA198,AA206)*Inputs!$Q$70</f>
        <v>3749.9999999999982</v>
      </c>
      <c r="AB208" s="297">
        <f>AVERAGE(AB198,AB206)*Inputs!$Q$70</f>
        <v>0</v>
      </c>
      <c r="AC208" s="297">
        <f>AVERAGE(AC198,AC206)*Inputs!$Q$70</f>
        <v>0</v>
      </c>
      <c r="AD208" s="297">
        <f>AVERAGE(AD198,AD206)*Inputs!$Q$70</f>
        <v>0</v>
      </c>
      <c r="AE208" s="297">
        <f>AVERAGE(AE198,AE206)*Inputs!$Q$70</f>
        <v>0</v>
      </c>
      <c r="AF208" s="297">
        <f>AVERAGE(AF198,AF206)*Inputs!$Q$70</f>
        <v>0</v>
      </c>
      <c r="AG208" s="297">
        <f>AVERAGE(AG198,AG206)*Inputs!$Q$70</f>
        <v>0</v>
      </c>
      <c r="AH208" s="297">
        <f>AVERAGE(AH198,AH206)*Inputs!$Q$70</f>
        <v>0</v>
      </c>
      <c r="AI208" s="297">
        <f>AVERAGE(AI198,AI206)*Inputs!$Q$70</f>
        <v>0</v>
      </c>
      <c r="AJ208" s="297">
        <f>AVERAGE(AJ198,AJ206)*Inputs!$Q$70</f>
        <v>0</v>
      </c>
    </row>
    <row r="209" spans="2:36" ht="16">
      <c r="B209" s="260" t="s">
        <v>198</v>
      </c>
      <c r="C209" s="260"/>
      <c r="D209" s="260"/>
      <c r="E209" s="304"/>
      <c r="F209" s="304"/>
      <c r="G209" s="297">
        <f>SUM(G199:G205)</f>
        <v>25000</v>
      </c>
      <c r="H209" s="297">
        <f t="shared" ref="H209:AJ209" si="64">SUM(H199:H205)</f>
        <v>25000</v>
      </c>
      <c r="I209" s="297">
        <f t="shared" si="64"/>
        <v>25000</v>
      </c>
      <c r="J209" s="297">
        <f t="shared" si="64"/>
        <v>25000</v>
      </c>
      <c r="K209" s="297">
        <f t="shared" si="64"/>
        <v>25000</v>
      </c>
      <c r="L209" s="297">
        <f t="shared" si="64"/>
        <v>25000</v>
      </c>
      <c r="M209" s="297">
        <f t="shared" si="64"/>
        <v>25000</v>
      </c>
      <c r="N209" s="297">
        <f t="shared" si="64"/>
        <v>25000</v>
      </c>
      <c r="O209" s="297">
        <f t="shared" si="64"/>
        <v>25000</v>
      </c>
      <c r="P209" s="297">
        <f t="shared" si="64"/>
        <v>25000</v>
      </c>
      <c r="Q209" s="297">
        <f t="shared" si="64"/>
        <v>25000</v>
      </c>
      <c r="R209" s="297">
        <f t="shared" si="64"/>
        <v>25000</v>
      </c>
      <c r="S209" s="297">
        <f t="shared" si="64"/>
        <v>25000</v>
      </c>
      <c r="T209" s="297">
        <f t="shared" si="64"/>
        <v>25000</v>
      </c>
      <c r="U209" s="297">
        <f t="shared" si="64"/>
        <v>25000</v>
      </c>
      <c r="V209" s="297">
        <f t="shared" si="64"/>
        <v>-661216.40438129089</v>
      </c>
      <c r="W209" s="297">
        <f t="shared" si="64"/>
        <v>25000</v>
      </c>
      <c r="X209" s="297">
        <f t="shared" si="64"/>
        <v>25000</v>
      </c>
      <c r="Y209" s="297">
        <f t="shared" si="64"/>
        <v>25000</v>
      </c>
      <c r="Z209" s="297">
        <f t="shared" si="64"/>
        <v>-551690.21690823347</v>
      </c>
      <c r="AA209" s="297">
        <f t="shared" si="64"/>
        <v>0</v>
      </c>
      <c r="AB209" s="297">
        <f t="shared" si="64"/>
        <v>0</v>
      </c>
      <c r="AC209" s="297">
        <f t="shared" si="64"/>
        <v>0</v>
      </c>
      <c r="AD209" s="297">
        <f t="shared" si="64"/>
        <v>0</v>
      </c>
      <c r="AE209" s="297">
        <f t="shared" si="64"/>
        <v>0</v>
      </c>
      <c r="AF209" s="297">
        <f t="shared" si="64"/>
        <v>0</v>
      </c>
      <c r="AG209" s="297">
        <f t="shared" si="64"/>
        <v>0</v>
      </c>
      <c r="AH209" s="297">
        <f t="shared" si="64"/>
        <v>0</v>
      </c>
      <c r="AI209" s="297">
        <f t="shared" si="64"/>
        <v>0</v>
      </c>
      <c r="AJ209" s="297">
        <f t="shared" si="64"/>
        <v>0</v>
      </c>
    </row>
    <row r="210" spans="2:36" ht="17" thickBot="1">
      <c r="B210" s="305"/>
      <c r="C210" s="305"/>
      <c r="D210" s="305"/>
      <c r="E210" s="306"/>
      <c r="F210" s="307"/>
      <c r="G210" s="307"/>
      <c r="H210" s="307"/>
      <c r="I210" s="307"/>
      <c r="J210" s="307"/>
      <c r="K210" s="307"/>
      <c r="L210" s="307"/>
      <c r="M210" s="307"/>
      <c r="N210" s="307"/>
      <c r="O210" s="307"/>
      <c r="P210" s="307"/>
      <c r="Q210" s="307"/>
      <c r="R210" s="307"/>
      <c r="S210" s="307"/>
      <c r="T210" s="307"/>
      <c r="U210" s="307"/>
      <c r="V210" s="307"/>
      <c r="W210" s="307"/>
      <c r="X210" s="307"/>
      <c r="Y210" s="307"/>
      <c r="Z210" s="307"/>
      <c r="AA210" s="307"/>
      <c r="AB210" s="307"/>
      <c r="AC210" s="307"/>
      <c r="AD210" s="307"/>
      <c r="AE210" s="307"/>
      <c r="AF210" s="307"/>
      <c r="AG210" s="307"/>
      <c r="AH210" s="307"/>
      <c r="AI210" s="307"/>
      <c r="AJ210" s="307"/>
    </row>
    <row r="211" spans="2:36" ht="16">
      <c r="B211" s="295"/>
      <c r="C211" s="295"/>
      <c r="D211" s="295"/>
      <c r="E211" s="304"/>
      <c r="F211" s="297"/>
      <c r="G211" s="414"/>
      <c r="H211" s="297"/>
      <c r="I211" s="297"/>
      <c r="J211" s="297"/>
      <c r="K211" s="297"/>
      <c r="L211" s="297"/>
      <c r="M211" s="297"/>
      <c r="N211" s="297"/>
      <c r="O211" s="297"/>
      <c r="P211" s="297"/>
      <c r="Q211" s="297"/>
      <c r="R211" s="297"/>
      <c r="S211" s="297"/>
      <c r="T211" s="297"/>
      <c r="U211" s="297"/>
      <c r="V211" s="297"/>
      <c r="W211" s="297"/>
      <c r="X211" s="297"/>
      <c r="Y211" s="297"/>
      <c r="Z211" s="297"/>
      <c r="AA211" s="297"/>
      <c r="AB211" s="297"/>
      <c r="AC211" s="297"/>
      <c r="AD211" s="297"/>
      <c r="AE211" s="297"/>
      <c r="AF211" s="297"/>
      <c r="AG211" s="297"/>
      <c r="AH211" s="297"/>
      <c r="AI211" s="297"/>
      <c r="AJ211" s="297"/>
    </row>
    <row r="212" spans="2:36" ht="17">
      <c r="B212" s="422" t="s">
        <v>283</v>
      </c>
      <c r="C212" s="422"/>
      <c r="D212" s="422"/>
      <c r="E212" s="304"/>
      <c r="F212" s="297"/>
      <c r="G212" s="415" t="s">
        <v>284</v>
      </c>
      <c r="H212" s="297"/>
      <c r="I212" s="297"/>
      <c r="J212" s="304"/>
      <c r="K212" s="415" t="s">
        <v>284</v>
      </c>
      <c r="L212" s="297"/>
      <c r="M212" s="297"/>
      <c r="N212" s="304"/>
      <c r="O212" s="415" t="s">
        <v>284</v>
      </c>
      <c r="P212" s="297"/>
      <c r="Q212" s="297"/>
      <c r="R212" s="415" t="s">
        <v>286</v>
      </c>
      <c r="S212" s="415" t="s">
        <v>287</v>
      </c>
      <c r="T212" s="304"/>
      <c r="U212" s="304"/>
      <c r="V212" s="297"/>
      <c r="W212" s="297"/>
      <c r="X212" s="297"/>
      <c r="Y212" s="297"/>
      <c r="Z212" s="297"/>
      <c r="AA212" s="297"/>
      <c r="AB212" s="297"/>
      <c r="AC212" s="297"/>
      <c r="AD212" s="297"/>
      <c r="AE212" s="297"/>
      <c r="AF212" s="297"/>
      <c r="AG212" s="297"/>
      <c r="AH212" s="297"/>
      <c r="AI212" s="297"/>
      <c r="AJ212" s="297"/>
    </row>
    <row r="213" spans="2:36" ht="16">
      <c r="B213" s="295" t="s">
        <v>288</v>
      </c>
      <c r="C213" s="295"/>
      <c r="D213" s="295"/>
      <c r="E213" s="304"/>
      <c r="F213" s="297"/>
      <c r="G213" s="297">
        <f>$D$72</f>
        <v>27001.843065267083</v>
      </c>
      <c r="H213" s="297"/>
      <c r="I213" s="297"/>
      <c r="J213" s="304"/>
      <c r="K213" s="297">
        <f>$D$72</f>
        <v>27001.843065267083</v>
      </c>
      <c r="L213" s="297"/>
      <c r="M213" s="297"/>
      <c r="N213" s="304"/>
      <c r="O213" s="297">
        <f>$D$72</f>
        <v>27001.843065267083</v>
      </c>
      <c r="P213" s="297"/>
      <c r="Q213" s="297"/>
      <c r="R213" s="416">
        <f>LOOKUP(MIN($P$214:$P$224),$O$214:$O$224,$N$214:$N$224)</f>
        <v>10</v>
      </c>
      <c r="S213" s="416">
        <f>LOOKUP(MAX($Q$214:$Q$224),$O$214:$O$224,$N$214:$N$224)</f>
        <v>10.1</v>
      </c>
      <c r="T213" s="465"/>
      <c r="U213" s="304"/>
      <c r="V213" s="297"/>
      <c r="W213" s="297"/>
      <c r="X213" s="297"/>
      <c r="Y213" s="297"/>
      <c r="Z213" s="297"/>
      <c r="AA213" s="297"/>
      <c r="AB213" s="297"/>
      <c r="AC213" s="297"/>
      <c r="AD213" s="297"/>
      <c r="AE213" s="297"/>
      <c r="AF213" s="297"/>
      <c r="AG213" s="297"/>
      <c r="AH213" s="297"/>
      <c r="AI213" s="297"/>
      <c r="AJ213" s="297"/>
    </row>
    <row r="214" spans="2:36" ht="16">
      <c r="B214" s="295"/>
      <c r="C214" s="295"/>
      <c r="D214" s="295"/>
      <c r="E214" s="304"/>
      <c r="F214" s="417">
        <v>0</v>
      </c>
      <c r="G214" s="297">
        <f t="dataTable" ref="G214:G224" dt2D="0" dtr="0" r1="G72"/>
        <v>-8591062.5396918617</v>
      </c>
      <c r="H214" s="297"/>
      <c r="I214" s="297"/>
      <c r="J214" s="418">
        <f>LOOKUP(MIN($H$214:$H$224),$G$214:$G$224,$F$214:$F$224)</f>
        <v>10</v>
      </c>
      <c r="K214" s="297">
        <f t="dataTable" ref="K214:K224" dt2D="0" dtr="0" r1="G72" ca="1"/>
        <v>-15874.099137505866</v>
      </c>
      <c r="L214" s="297"/>
      <c r="M214" s="297"/>
      <c r="N214" s="418">
        <f>LOOKUP(MIN($L$214:$L$224),$K$214:$K$224,$J$214:$J$224)</f>
        <v>10</v>
      </c>
      <c r="O214" s="297">
        <f t="dataTable" ref="O214:O224" dt2D="0" dtr="0" r1="G72" ca="1"/>
        <v>-15874.099137505866</v>
      </c>
      <c r="P214" s="297"/>
      <c r="Q214" s="297"/>
      <c r="R214" s="297"/>
      <c r="S214" s="297"/>
      <c r="T214" s="297"/>
      <c r="U214" s="297"/>
      <c r="V214" s="297"/>
      <c r="W214" s="297"/>
      <c r="X214" s="297"/>
      <c r="Y214" s="297"/>
      <c r="Z214" s="297"/>
      <c r="AA214" s="297"/>
      <c r="AB214" s="297"/>
      <c r="AC214" s="297"/>
      <c r="AD214" s="297"/>
      <c r="AE214" s="297"/>
      <c r="AF214" s="297"/>
      <c r="AG214" s="297"/>
      <c r="AH214" s="297"/>
      <c r="AI214" s="297"/>
      <c r="AJ214" s="297"/>
    </row>
    <row r="215" spans="2:36" ht="17">
      <c r="B215" s="304"/>
      <c r="C215" s="304"/>
      <c r="D215" s="304"/>
      <c r="E215" s="304"/>
      <c r="F215" s="417">
        <v>10</v>
      </c>
      <c r="G215" s="297">
        <v>-15874.099137505866</v>
      </c>
      <c r="H215" s="297">
        <f t="shared" ref="H215:H224" si="65">IF(AND($G215&lt;0,$G216&gt;0),$G215,"")</f>
        <v>-15874.099137505866</v>
      </c>
      <c r="I215" s="297" t="str">
        <f t="shared" ref="I215:I224" si="66">IF(AND($G215&gt;0,$G214&lt;0),$G215,"")</f>
        <v/>
      </c>
      <c r="J215" s="418">
        <f>J214+1</f>
        <v>11</v>
      </c>
      <c r="K215" s="297">
        <v>841644.74491792824</v>
      </c>
      <c r="L215" s="297" t="str">
        <f t="shared" ref="L215:L224" si="67">IF(AND($K215&lt;0,$K216&gt;0),$K215,"")</f>
        <v/>
      </c>
      <c r="M215" s="297">
        <f t="shared" ref="M215:M224" si="68">IF(AND($K215&gt;0,$K214&lt;0),$K215,"")</f>
        <v>841644.74491792824</v>
      </c>
      <c r="N215" s="418">
        <f>N214+0.1</f>
        <v>10.1</v>
      </c>
      <c r="O215" s="297">
        <v>69877.785268036139</v>
      </c>
      <c r="P215" s="297" t="str">
        <f>IF(AND($O215&lt;0,$O216&gt;0),$O215,"")</f>
        <v/>
      </c>
      <c r="Q215" s="297">
        <f>IF(AND($O215&gt;0,$O214&lt;0),$O215,"")</f>
        <v>69877.785268036139</v>
      </c>
      <c r="R215" s="297"/>
      <c r="S215" s="297"/>
      <c r="T215" s="297"/>
      <c r="U215" s="297"/>
      <c r="V215" s="297"/>
      <c r="W215" s="297"/>
      <c r="X215" s="297"/>
      <c r="Y215" s="297"/>
      <c r="Z215" s="297"/>
      <c r="AA215" s="297"/>
      <c r="AB215" s="297"/>
      <c r="AC215" s="297"/>
      <c r="AD215" s="297"/>
      <c r="AE215" s="297"/>
      <c r="AF215" s="297"/>
      <c r="AG215" s="297"/>
      <c r="AH215" s="297"/>
      <c r="AI215" s="297"/>
      <c r="AJ215" s="297"/>
    </row>
    <row r="216" spans="2:36" ht="17">
      <c r="B216" s="304"/>
      <c r="C216" s="304"/>
      <c r="D216" s="304"/>
      <c r="E216" s="304"/>
      <c r="F216" s="417">
        <v>20</v>
      </c>
      <c r="G216" s="297">
        <v>8559314.3414168451</v>
      </c>
      <c r="H216" s="297" t="str">
        <f t="shared" si="65"/>
        <v/>
      </c>
      <c r="I216" s="297">
        <f t="shared" si="66"/>
        <v>8559314.3414168451</v>
      </c>
      <c r="J216" s="418">
        <f t="shared" ref="J216:J223" si="69">J215+1</f>
        <v>12</v>
      </c>
      <c r="K216" s="297">
        <v>1699163.5889733634</v>
      </c>
      <c r="L216" s="297" t="str">
        <f t="shared" si="67"/>
        <v/>
      </c>
      <c r="M216" s="297" t="str">
        <f t="shared" si="68"/>
        <v/>
      </c>
      <c r="N216" s="418">
        <f t="shared" ref="N216:N223" si="70">N215+0.1</f>
        <v>10.199999999999999</v>
      </c>
      <c r="O216" s="297">
        <v>155629.66967358254</v>
      </c>
      <c r="P216" s="297" t="str">
        <f t="shared" ref="P216:P224" si="71">IF(AND($O216&lt;0,$O217&gt;0),$O216,"")</f>
        <v/>
      </c>
      <c r="Q216" s="297" t="str">
        <f t="shared" ref="Q216:Q224" si="72">IF(AND($O216&gt;0,$O215&lt;0),$O216,"")</f>
        <v/>
      </c>
      <c r="R216" s="297"/>
      <c r="S216" s="297"/>
      <c r="T216" s="297"/>
      <c r="U216" s="297"/>
      <c r="V216" s="297"/>
      <c r="W216" s="297"/>
      <c r="X216" s="297"/>
      <c r="Y216" s="297"/>
      <c r="Z216" s="297"/>
      <c r="AA216" s="297"/>
      <c r="AB216" s="297"/>
      <c r="AC216" s="297"/>
      <c r="AD216" s="297"/>
      <c r="AE216" s="297"/>
      <c r="AF216" s="297"/>
      <c r="AG216" s="297"/>
      <c r="AH216" s="297"/>
      <c r="AI216" s="297"/>
      <c r="AJ216" s="297"/>
    </row>
    <row r="217" spans="2:36" ht="17">
      <c r="B217" s="304"/>
      <c r="C217" s="304"/>
      <c r="D217" s="304"/>
      <c r="E217" s="304"/>
      <c r="F217" s="417">
        <v>30</v>
      </c>
      <c r="G217" s="297">
        <v>17134502.781971205</v>
      </c>
      <c r="H217" s="297" t="str">
        <f t="shared" si="65"/>
        <v/>
      </c>
      <c r="I217" s="297" t="str">
        <f t="shared" si="66"/>
        <v/>
      </c>
      <c r="J217" s="418">
        <f t="shared" si="69"/>
        <v>13</v>
      </c>
      <c r="K217" s="297">
        <v>2556682.4330288018</v>
      </c>
      <c r="L217" s="297" t="str">
        <f t="shared" si="67"/>
        <v/>
      </c>
      <c r="M217" s="297" t="str">
        <f t="shared" si="68"/>
        <v/>
      </c>
      <c r="N217" s="418">
        <f t="shared" si="70"/>
        <v>10.299999999999999</v>
      </c>
      <c r="O217" s="297">
        <v>241381.55407912418</v>
      </c>
      <c r="P217" s="297" t="str">
        <f t="shared" si="71"/>
        <v/>
      </c>
      <c r="Q217" s="297" t="str">
        <f t="shared" si="72"/>
        <v/>
      </c>
      <c r="R217" s="297"/>
      <c r="S217" s="297"/>
      <c r="T217" s="297"/>
      <c r="U217" s="297"/>
      <c r="V217" s="297"/>
      <c r="W217" s="297"/>
      <c r="X217" s="297"/>
      <c r="Y217" s="297"/>
      <c r="Z217" s="297"/>
      <c r="AA217" s="297"/>
      <c r="AB217" s="297"/>
      <c r="AC217" s="297"/>
      <c r="AD217" s="297"/>
      <c r="AE217" s="297"/>
      <c r="AF217" s="297"/>
      <c r="AG217" s="297"/>
      <c r="AH217" s="297"/>
      <c r="AI217" s="297"/>
      <c r="AJ217" s="297"/>
    </row>
    <row r="218" spans="2:36" ht="17">
      <c r="B218" s="304"/>
      <c r="C218" s="304"/>
      <c r="D218" s="304"/>
      <c r="E218" s="304"/>
      <c r="F218" s="417">
        <v>40</v>
      </c>
      <c r="G218" s="297">
        <v>25709691.222525563</v>
      </c>
      <c r="H218" s="297" t="str">
        <f t="shared" si="65"/>
        <v/>
      </c>
      <c r="I218" s="297" t="str">
        <f t="shared" si="66"/>
        <v/>
      </c>
      <c r="J218" s="418">
        <f t="shared" si="69"/>
        <v>14</v>
      </c>
      <c r="K218" s="297">
        <v>3414201.277084236</v>
      </c>
      <c r="L218" s="297" t="str">
        <f t="shared" si="67"/>
        <v/>
      </c>
      <c r="M218" s="297" t="str">
        <f t="shared" si="68"/>
        <v/>
      </c>
      <c r="N218" s="418">
        <f t="shared" si="70"/>
        <v>10.399999999999999</v>
      </c>
      <c r="O218" s="297">
        <v>327133.4384846685</v>
      </c>
      <c r="P218" s="297" t="str">
        <f t="shared" si="71"/>
        <v/>
      </c>
      <c r="Q218" s="297" t="str">
        <f t="shared" si="72"/>
        <v/>
      </c>
      <c r="R218" s="297"/>
      <c r="S218" s="297"/>
      <c r="T218" s="297"/>
      <c r="U218" s="297"/>
      <c r="V218" s="297"/>
      <c r="W218" s="297"/>
      <c r="X218" s="297"/>
      <c r="Y218" s="297"/>
      <c r="Z218" s="297"/>
      <c r="AA218" s="297"/>
      <c r="AB218" s="297"/>
      <c r="AC218" s="297"/>
      <c r="AD218" s="297"/>
      <c r="AE218" s="297"/>
      <c r="AF218" s="297"/>
      <c r="AG218" s="297"/>
      <c r="AH218" s="297"/>
      <c r="AI218" s="297"/>
      <c r="AJ218" s="297"/>
    </row>
    <row r="219" spans="2:36" ht="17">
      <c r="B219" s="304"/>
      <c r="C219" s="304"/>
      <c r="D219" s="304"/>
      <c r="E219" s="304"/>
      <c r="F219" s="417">
        <v>50</v>
      </c>
      <c r="G219" s="297">
        <v>34284879.663079925</v>
      </c>
      <c r="H219" s="297" t="str">
        <f t="shared" si="65"/>
        <v/>
      </c>
      <c r="I219" s="297" t="str">
        <f t="shared" si="66"/>
        <v/>
      </c>
      <c r="J219" s="418">
        <f t="shared" si="69"/>
        <v>15</v>
      </c>
      <c r="K219" s="297">
        <v>4271720.1211396726</v>
      </c>
      <c r="L219" s="297" t="str">
        <f t="shared" si="67"/>
        <v/>
      </c>
      <c r="M219" s="297" t="str">
        <f t="shared" si="68"/>
        <v/>
      </c>
      <c r="N219" s="418">
        <f t="shared" si="70"/>
        <v>10.499999999999998</v>
      </c>
      <c r="O219" s="297">
        <v>412885.32289020956</v>
      </c>
      <c r="P219" s="297" t="str">
        <f t="shared" si="71"/>
        <v/>
      </c>
      <c r="Q219" s="297" t="str">
        <f t="shared" si="72"/>
        <v/>
      </c>
      <c r="R219" s="297"/>
      <c r="S219" s="297"/>
      <c r="T219" s="297"/>
      <c r="U219" s="297"/>
      <c r="V219" s="297"/>
      <c r="W219" s="297"/>
      <c r="X219" s="297"/>
      <c r="Y219" s="297"/>
      <c r="Z219" s="297"/>
      <c r="AA219" s="297"/>
      <c r="AB219" s="297"/>
      <c r="AC219" s="297"/>
      <c r="AD219" s="297"/>
      <c r="AE219" s="297"/>
      <c r="AF219" s="297"/>
      <c r="AG219" s="297"/>
      <c r="AH219" s="297"/>
      <c r="AI219" s="297"/>
      <c r="AJ219" s="297"/>
    </row>
    <row r="220" spans="2:36" ht="17">
      <c r="B220" s="304"/>
      <c r="C220" s="304"/>
      <c r="D220" s="304"/>
      <c r="E220" s="304"/>
      <c r="F220" s="417">
        <v>60</v>
      </c>
      <c r="G220" s="297">
        <v>42860068.103634268</v>
      </c>
      <c r="H220" s="297" t="str">
        <f t="shared" si="65"/>
        <v/>
      </c>
      <c r="I220" s="297" t="str">
        <f t="shared" si="66"/>
        <v/>
      </c>
      <c r="J220" s="418">
        <f t="shared" si="69"/>
        <v>16</v>
      </c>
      <c r="K220" s="297">
        <v>5129238.9651951063</v>
      </c>
      <c r="L220" s="297" t="str">
        <f t="shared" si="67"/>
        <v/>
      </c>
      <c r="M220" s="297" t="str">
        <f t="shared" si="68"/>
        <v/>
      </c>
      <c r="N220" s="418">
        <f t="shared" si="70"/>
        <v>10.599999999999998</v>
      </c>
      <c r="O220" s="297">
        <v>498637.20729575527</v>
      </c>
      <c r="P220" s="297" t="str">
        <f t="shared" si="71"/>
        <v/>
      </c>
      <c r="Q220" s="297" t="str">
        <f t="shared" si="72"/>
        <v/>
      </c>
      <c r="R220" s="297"/>
      <c r="S220" s="297"/>
      <c r="T220" s="297"/>
      <c r="U220" s="297"/>
      <c r="V220" s="297"/>
      <c r="W220" s="297"/>
      <c r="X220" s="297"/>
      <c r="Y220" s="297"/>
      <c r="Z220" s="297"/>
      <c r="AA220" s="297"/>
      <c r="AB220" s="297"/>
      <c r="AC220" s="297"/>
      <c r="AD220" s="297"/>
      <c r="AE220" s="297"/>
      <c r="AF220" s="297"/>
      <c r="AG220" s="297"/>
      <c r="AH220" s="297"/>
      <c r="AI220" s="297"/>
      <c r="AJ220" s="297"/>
    </row>
    <row r="221" spans="2:36" ht="17">
      <c r="B221" s="304"/>
      <c r="C221" s="304"/>
      <c r="D221" s="304"/>
      <c r="E221" s="304"/>
      <c r="F221" s="417">
        <v>70</v>
      </c>
      <c r="G221" s="297">
        <v>51435256.544188634</v>
      </c>
      <c r="H221" s="297" t="str">
        <f t="shared" si="65"/>
        <v/>
      </c>
      <c r="I221" s="297" t="str">
        <f t="shared" si="66"/>
        <v/>
      </c>
      <c r="J221" s="418">
        <f t="shared" si="69"/>
        <v>17</v>
      </c>
      <c r="K221" s="297">
        <v>5986757.809250542</v>
      </c>
      <c r="L221" s="297" t="str">
        <f t="shared" si="67"/>
        <v/>
      </c>
      <c r="M221" s="297" t="str">
        <f t="shared" si="68"/>
        <v/>
      </c>
      <c r="N221" s="418">
        <f t="shared" si="70"/>
        <v>10.699999999999998</v>
      </c>
      <c r="O221" s="297">
        <v>584389.09170129523</v>
      </c>
      <c r="P221" s="297" t="str">
        <f t="shared" si="71"/>
        <v/>
      </c>
      <c r="Q221" s="297" t="str">
        <f t="shared" si="72"/>
        <v/>
      </c>
      <c r="R221" s="297"/>
      <c r="S221" s="297"/>
      <c r="T221" s="297"/>
      <c r="U221" s="297"/>
      <c r="V221" s="297"/>
      <c r="W221" s="297"/>
      <c r="X221" s="297"/>
      <c r="Y221" s="297"/>
      <c r="Z221" s="297"/>
      <c r="AA221" s="297"/>
      <c r="AB221" s="297"/>
      <c r="AC221" s="297"/>
      <c r="AD221" s="297"/>
      <c r="AE221" s="297"/>
      <c r="AF221" s="297"/>
      <c r="AG221" s="297"/>
      <c r="AH221" s="297"/>
      <c r="AI221" s="297"/>
      <c r="AJ221" s="297"/>
    </row>
    <row r="222" spans="2:36" ht="17">
      <c r="B222" s="304"/>
      <c r="C222" s="304"/>
      <c r="D222" s="304"/>
      <c r="E222" s="304"/>
      <c r="F222" s="417">
        <v>80</v>
      </c>
      <c r="G222" s="297">
        <v>60010444.984742992</v>
      </c>
      <c r="H222" s="297" t="str">
        <f t="shared" si="65"/>
        <v/>
      </c>
      <c r="I222" s="297" t="str">
        <f t="shared" si="66"/>
        <v/>
      </c>
      <c r="J222" s="418">
        <f t="shared" si="69"/>
        <v>18</v>
      </c>
      <c r="K222" s="297">
        <v>6844276.6533059822</v>
      </c>
      <c r="L222" s="297" t="str">
        <f t="shared" si="67"/>
        <v/>
      </c>
      <c r="M222" s="297" t="str">
        <f t="shared" si="68"/>
        <v/>
      </c>
      <c r="N222" s="418">
        <f t="shared" si="70"/>
        <v>10.799999999999997</v>
      </c>
      <c r="O222" s="297">
        <v>670140.97610683995</v>
      </c>
      <c r="P222" s="297" t="str">
        <f t="shared" si="71"/>
        <v/>
      </c>
      <c r="Q222" s="297" t="str">
        <f t="shared" si="72"/>
        <v/>
      </c>
      <c r="R222" s="297"/>
      <c r="S222" s="297"/>
      <c r="T222" s="297"/>
      <c r="U222" s="297"/>
      <c r="V222" s="297"/>
      <c r="W222" s="297"/>
      <c r="X222" s="297"/>
      <c r="Y222" s="297"/>
      <c r="Z222" s="297"/>
      <c r="AA222" s="297"/>
      <c r="AB222" s="297"/>
      <c r="AC222" s="297"/>
      <c r="AD222" s="297"/>
      <c r="AE222" s="297"/>
      <c r="AF222" s="297"/>
      <c r="AG222" s="297"/>
      <c r="AH222" s="297"/>
      <c r="AI222" s="297"/>
      <c r="AJ222" s="297"/>
    </row>
    <row r="223" spans="2:36" ht="17">
      <c r="B223" s="304"/>
      <c r="C223" s="304"/>
      <c r="D223" s="304"/>
      <c r="E223" s="304"/>
      <c r="F223" s="417">
        <v>90</v>
      </c>
      <c r="G223" s="297">
        <v>68585633.425297335</v>
      </c>
      <c r="H223" s="297" t="str">
        <f t="shared" si="65"/>
        <v/>
      </c>
      <c r="I223" s="297" t="str">
        <f t="shared" si="66"/>
        <v/>
      </c>
      <c r="J223" s="418">
        <f t="shared" si="69"/>
        <v>19</v>
      </c>
      <c r="K223" s="297">
        <v>7701795.4973614141</v>
      </c>
      <c r="L223" s="297" t="str">
        <f t="shared" si="67"/>
        <v/>
      </c>
      <c r="M223" s="297" t="str">
        <f t="shared" si="68"/>
        <v/>
      </c>
      <c r="N223" s="418">
        <f t="shared" si="70"/>
        <v>10.899999999999997</v>
      </c>
      <c r="O223" s="297">
        <v>755892.86051238363</v>
      </c>
      <c r="P223" s="297" t="str">
        <f t="shared" si="71"/>
        <v/>
      </c>
      <c r="Q223" s="297" t="str">
        <f t="shared" si="72"/>
        <v/>
      </c>
      <c r="R223" s="297"/>
      <c r="S223" s="297"/>
      <c r="T223" s="297"/>
      <c r="U223" s="297"/>
      <c r="V223" s="297"/>
      <c r="W223" s="297"/>
      <c r="X223" s="297"/>
      <c r="Y223" s="297"/>
      <c r="Z223" s="297"/>
      <c r="AA223" s="297"/>
      <c r="AB223" s="297"/>
      <c r="AC223" s="297"/>
      <c r="AD223" s="297"/>
      <c r="AE223" s="297"/>
      <c r="AF223" s="297"/>
      <c r="AG223" s="297"/>
      <c r="AH223" s="297"/>
      <c r="AI223" s="297"/>
      <c r="AJ223" s="297"/>
    </row>
    <row r="224" spans="2:36" ht="17">
      <c r="B224" s="304"/>
      <c r="C224" s="304"/>
      <c r="D224" s="304"/>
      <c r="E224" s="304"/>
      <c r="F224" s="417">
        <v>100</v>
      </c>
      <c r="G224" s="297">
        <v>77160821.865851685</v>
      </c>
      <c r="H224" s="297" t="str">
        <f t="shared" si="65"/>
        <v/>
      </c>
      <c r="I224" s="297" t="str">
        <f t="shared" si="66"/>
        <v/>
      </c>
      <c r="J224" s="418">
        <f>LOOKUP(MAX($I$214:$I$224),$G$214:$G$224,$F$214:$F$224)</f>
        <v>20</v>
      </c>
      <c r="K224" s="297">
        <v>8559314.3414168451</v>
      </c>
      <c r="L224" s="297" t="str">
        <f t="shared" si="67"/>
        <v/>
      </c>
      <c r="M224" s="297" t="str">
        <f t="shared" si="68"/>
        <v/>
      </c>
      <c r="N224" s="418">
        <f>LOOKUP(MAX($M$214:$M$224),$K$214:$K$224,$J$214:$J$224)</f>
        <v>11</v>
      </c>
      <c r="O224" s="297">
        <v>841644.74491792824</v>
      </c>
      <c r="P224" s="297" t="str">
        <f t="shared" si="71"/>
        <v/>
      </c>
      <c r="Q224" s="297" t="str">
        <f t="shared" si="72"/>
        <v/>
      </c>
      <c r="R224" s="297"/>
      <c r="S224" s="297"/>
      <c r="T224" s="297"/>
      <c r="U224" s="297"/>
      <c r="V224" s="297"/>
      <c r="W224" s="297"/>
      <c r="X224" s="297"/>
      <c r="Y224" s="297"/>
      <c r="Z224" s="297"/>
      <c r="AA224" s="297"/>
      <c r="AB224" s="297"/>
      <c r="AC224" s="297"/>
      <c r="AD224" s="297"/>
      <c r="AE224" s="297"/>
      <c r="AF224" s="297"/>
      <c r="AG224" s="297"/>
      <c r="AH224" s="297"/>
      <c r="AI224" s="297"/>
      <c r="AJ224" s="297"/>
    </row>
    <row r="225" spans="2:36" ht="16" thickBot="1">
      <c r="B225" s="306"/>
      <c r="C225" s="306"/>
      <c r="D225" s="306"/>
      <c r="E225" s="306"/>
      <c r="F225" s="421"/>
      <c r="G225" s="306"/>
      <c r="H225" s="306"/>
      <c r="I225" s="306"/>
      <c r="J225" s="306"/>
      <c r="K225" s="306"/>
      <c r="L225" s="306"/>
      <c r="M225" s="306"/>
      <c r="N225" s="306"/>
      <c r="O225" s="306"/>
      <c r="P225" s="306"/>
      <c r="Q225" s="306"/>
      <c r="R225" s="306"/>
      <c r="S225" s="306"/>
      <c r="T225" s="306"/>
      <c r="U225" s="306"/>
      <c r="V225" s="306"/>
      <c r="W225" s="306"/>
      <c r="X225" s="306"/>
      <c r="Y225" s="306"/>
      <c r="Z225" s="306"/>
      <c r="AA225" s="306"/>
      <c r="AB225" s="306"/>
      <c r="AC225" s="306"/>
      <c r="AD225" s="306"/>
      <c r="AE225" s="306"/>
      <c r="AF225" s="306"/>
      <c r="AG225" s="306"/>
      <c r="AH225" s="306"/>
      <c r="AI225" s="306"/>
      <c r="AJ225" s="306"/>
    </row>
    <row r="226" spans="2:36" s="419" customFormat="1">
      <c r="F226" s="420"/>
    </row>
    <row r="227" spans="2:36">
      <c r="F227" s="413"/>
    </row>
    <row r="228" spans="2:36">
      <c r="F228" s="413"/>
    </row>
    <row r="229" spans="2:36">
      <c r="F229" s="413"/>
    </row>
    <row r="230" spans="2:36">
      <c r="F230" s="413"/>
    </row>
    <row r="231" spans="2:36">
      <c r="F231" s="413"/>
    </row>
    <row r="232" spans="2:36">
      <c r="F232" s="413"/>
    </row>
    <row r="233" spans="2:36">
      <c r="F233" s="413"/>
    </row>
    <row r="234" spans="2:36">
      <c r="F234" s="413"/>
    </row>
    <row r="235" spans="2:36">
      <c r="F235" s="413"/>
    </row>
    <row r="236" spans="2:36">
      <c r="F236" s="413"/>
    </row>
    <row r="237" spans="2:36">
      <c r="F237" s="413"/>
    </row>
  </sheetData>
  <mergeCells count="3">
    <mergeCell ref="C96:E96"/>
    <mergeCell ref="B70:C70"/>
    <mergeCell ref="B72:C72"/>
  </mergeCells>
  <dataValidations disablePrompts="1" count="1">
    <dataValidation type="list" allowBlank="1" showInputMessage="1" showErrorMessage="1" sqref="E65632 HW65632 RS65632 ABO65632 ALK65632 AVG65632 BFC65632 BOY65632 BYU65632 CIQ65632 CSM65632 DCI65632 DME65632 DWA65632 EFW65632 EPS65632 EZO65632 FJK65632 FTG65632 GDC65632 GMY65632 GWU65632 HGQ65632 HQM65632 IAI65632 IKE65632 IUA65632 JDW65632 JNS65632 JXO65632 KHK65632 KRG65632 LBC65632 LKY65632 LUU65632 MEQ65632 MOM65632 MYI65632 NIE65632 NSA65632 OBW65632 OLS65632 OVO65632 PFK65632 PPG65632 PZC65632 QIY65632 QSU65632 RCQ65632 RMM65632 RWI65632 SGE65632 SQA65632 SZW65632 TJS65632 TTO65632 UDK65632 UNG65632 UXC65632 VGY65632 VQU65632 WAQ65632 WKM65632 WUI65632 HW131168 RS131168 ABO131168 ALK131168 AVG131168 BFC131168 BOY131168 BYU131168 CIQ131168 CSM131168 DCI131168 DME131168 DWA131168 EFW131168 EPS131168 EZO131168 FJK131168 FTG131168 GDC131168 GMY131168 GWU131168 HGQ131168 HQM131168 IAI131168 IKE131168 IUA131168 JDW131168 JNS131168 JXO131168 KHK131168 KRG131168 LBC131168 LKY131168 LUU131168 MEQ131168 MOM131168 MYI131168 NIE131168 NSA131168 OBW131168 OLS131168 OVO131168 PFK131168 PPG131168 PZC131168 QIY131168 QSU131168 RCQ131168 RMM131168 RWI131168 SGE131168 SQA131168 SZW131168 TJS131168 TTO131168 UDK131168 UNG131168 UXC131168 VGY131168 VQU131168 WAQ131168 WKM131168 WUI131168 HW196704 RS196704 ABO196704 ALK196704 AVG196704 BFC196704 BOY196704 BYU196704 CIQ196704 CSM196704 DCI196704 DME196704 DWA196704 EFW196704 EPS196704 EZO196704 FJK196704 FTG196704 GDC196704 GMY196704 GWU196704 HGQ196704 HQM196704 IAI196704 IKE196704 IUA196704 JDW196704 JNS196704 JXO196704 KHK196704 KRG196704 LBC196704 LKY196704 LUU196704 MEQ196704 MOM196704 MYI196704 NIE196704 NSA196704 OBW196704 OLS196704 OVO196704 PFK196704 PPG196704 PZC196704 QIY196704 QSU196704 RCQ196704 RMM196704 RWI196704 SGE196704 SQA196704 SZW196704 TJS196704 TTO196704 UDK196704 UNG196704 UXC196704 VGY196704 VQU196704 WAQ196704 WKM196704 WUI196704 HW262240 RS262240 ABO262240 ALK262240 AVG262240 BFC262240 BOY262240 BYU262240 CIQ262240 CSM262240 DCI262240 DME262240 DWA262240 EFW262240 EPS262240 EZO262240 FJK262240 FTG262240 GDC262240 GMY262240 GWU262240 HGQ262240 HQM262240 IAI262240 IKE262240 IUA262240 JDW262240 JNS262240 JXO262240 KHK262240 KRG262240 LBC262240 LKY262240 LUU262240 MEQ262240 MOM262240 MYI262240 NIE262240 NSA262240 OBW262240 OLS262240 OVO262240 PFK262240 PPG262240 PZC262240 QIY262240 QSU262240 RCQ262240 RMM262240 RWI262240 SGE262240 SQA262240 SZW262240 TJS262240 TTO262240 UDK262240 UNG262240 UXC262240 VGY262240 VQU262240 WAQ262240 WKM262240 WUI262240 HW327776 RS327776 ABO327776 ALK327776 AVG327776 BFC327776 BOY327776 BYU327776 CIQ327776 CSM327776 DCI327776 DME327776 DWA327776 EFW327776 EPS327776 EZO327776 FJK327776 FTG327776 GDC327776 GMY327776 GWU327776 HGQ327776 HQM327776 IAI327776 IKE327776 IUA327776 JDW327776 JNS327776 JXO327776 KHK327776 KRG327776 LBC327776 LKY327776 LUU327776 MEQ327776 MOM327776 MYI327776 NIE327776 NSA327776 OBW327776 OLS327776 OVO327776 PFK327776 PPG327776 PZC327776 QIY327776 QSU327776 RCQ327776 RMM327776 RWI327776 SGE327776 SQA327776 SZW327776 TJS327776 TTO327776 UDK327776 UNG327776 UXC327776 VGY327776 VQU327776 WAQ327776 WKM327776 WUI327776 HW393312 RS393312 ABO393312 ALK393312 AVG393312 BFC393312 BOY393312 BYU393312 CIQ393312 CSM393312 DCI393312 DME393312 DWA393312 EFW393312 EPS393312 EZO393312 FJK393312 FTG393312 GDC393312 GMY393312 GWU393312 HGQ393312 HQM393312 IAI393312 IKE393312 IUA393312 JDW393312 JNS393312 JXO393312 KHK393312 KRG393312 LBC393312 LKY393312 LUU393312 MEQ393312 MOM393312 MYI393312 NIE393312 NSA393312 OBW393312 OLS393312 OVO393312 PFK393312 PPG393312 PZC393312 QIY393312 QSU393312 RCQ393312 RMM393312 RWI393312 SGE393312 SQA393312 SZW393312 TJS393312 TTO393312 UDK393312 UNG393312 UXC393312 VGY393312 VQU393312 WAQ393312 WKM393312 WUI393312 HW458848 RS458848 ABO458848 ALK458848 AVG458848 BFC458848 BOY458848 BYU458848 CIQ458848 CSM458848 DCI458848 DME458848 DWA458848 EFW458848 EPS458848 EZO458848 FJK458848 FTG458848 GDC458848 GMY458848 GWU458848 HGQ458848 HQM458848 IAI458848 IKE458848 IUA458848 JDW458848 JNS458848 JXO458848 KHK458848 KRG458848 LBC458848 LKY458848 LUU458848 MEQ458848 MOM458848 MYI458848 NIE458848 NSA458848 OBW458848 OLS458848 OVO458848 PFK458848 PPG458848 PZC458848 QIY458848 QSU458848 RCQ458848 RMM458848 RWI458848 SGE458848 SQA458848 SZW458848 TJS458848 TTO458848 UDK458848 UNG458848 UXC458848 VGY458848 VQU458848 WAQ458848 WKM458848 WUI458848 HW524384 RS524384 ABO524384 ALK524384 AVG524384 BFC524384 BOY524384 BYU524384 CIQ524384 CSM524384 DCI524384 DME524384 DWA524384 EFW524384 EPS524384 EZO524384 FJK524384 FTG524384 GDC524384 GMY524384 GWU524384 HGQ524384 HQM524384 IAI524384 IKE524384 IUA524384 JDW524384 JNS524384 JXO524384 KHK524384 KRG524384 LBC524384 LKY524384 LUU524384 MEQ524384 MOM524384 MYI524384 NIE524384 NSA524384 OBW524384 OLS524384 OVO524384 PFK524384 PPG524384 PZC524384 QIY524384 QSU524384 RCQ524384 RMM524384 RWI524384 SGE524384 SQA524384 SZW524384 TJS524384 TTO524384 UDK524384 UNG524384 UXC524384 VGY524384 VQU524384 WAQ524384 WKM524384 WUI524384 HW589920 RS589920 ABO589920 ALK589920 AVG589920 BFC589920 BOY589920 BYU589920 CIQ589920 CSM589920 DCI589920 DME589920 DWA589920 EFW589920 EPS589920 EZO589920 FJK589920 FTG589920 GDC589920 GMY589920 GWU589920 HGQ589920 HQM589920 IAI589920 IKE589920 IUA589920 JDW589920 JNS589920 JXO589920 KHK589920 KRG589920 LBC589920 LKY589920 LUU589920 MEQ589920 MOM589920 MYI589920 NIE589920 NSA589920 OBW589920 OLS589920 OVO589920 PFK589920 PPG589920 PZC589920 QIY589920 QSU589920 RCQ589920 RMM589920 RWI589920 SGE589920 SQA589920 SZW589920 TJS589920 TTO589920 UDK589920 UNG589920 UXC589920 VGY589920 VQU589920 WAQ589920 WKM589920 WUI589920 HW655456 RS655456 ABO655456 ALK655456 AVG655456 BFC655456 BOY655456 BYU655456 CIQ655456 CSM655456 DCI655456 DME655456 DWA655456 EFW655456 EPS655456 EZO655456 FJK655456 FTG655456 GDC655456 GMY655456 GWU655456 HGQ655456 HQM655456 IAI655456 IKE655456 IUA655456 JDW655456 JNS655456 JXO655456 KHK655456 KRG655456 LBC655456 LKY655456 LUU655456 MEQ655456 MOM655456 MYI655456 NIE655456 NSA655456 OBW655456 OLS655456 OVO655456 PFK655456 PPG655456 PZC655456 QIY655456 QSU655456 RCQ655456 RMM655456 RWI655456 SGE655456 SQA655456 SZW655456 TJS655456 TTO655456 UDK655456 UNG655456 UXC655456 VGY655456 VQU655456 WAQ655456 WKM655456 WUI655456 HW720992 RS720992 ABO720992 ALK720992 AVG720992 BFC720992 BOY720992 BYU720992 CIQ720992 CSM720992 DCI720992 DME720992 DWA720992 EFW720992 EPS720992 EZO720992 FJK720992 FTG720992 GDC720992 GMY720992 GWU720992 HGQ720992 HQM720992 IAI720992 IKE720992 IUA720992 JDW720992 JNS720992 JXO720992 KHK720992 KRG720992 LBC720992 LKY720992 LUU720992 MEQ720992 MOM720992 MYI720992 NIE720992 NSA720992 OBW720992 OLS720992 OVO720992 PFK720992 PPG720992 PZC720992 QIY720992 QSU720992 RCQ720992 RMM720992 RWI720992 SGE720992 SQA720992 SZW720992 TJS720992 TTO720992 UDK720992 UNG720992 UXC720992 VGY720992 VQU720992 WAQ720992 WKM720992 WUI720992 HW786528 RS786528 ABO786528 ALK786528 AVG786528 BFC786528 BOY786528 BYU786528 CIQ786528 CSM786528 DCI786528 DME786528 DWA786528 EFW786528 EPS786528 EZO786528 FJK786528 FTG786528 GDC786528 GMY786528 GWU786528 HGQ786528 HQM786528 IAI786528 IKE786528 IUA786528 JDW786528 JNS786528 JXO786528 KHK786528 KRG786528 LBC786528 LKY786528 LUU786528 MEQ786528 MOM786528 MYI786528 NIE786528 NSA786528 OBW786528 OLS786528 OVO786528 PFK786528 PPG786528 PZC786528 QIY786528 QSU786528 RCQ786528 RMM786528 RWI786528 SGE786528 SQA786528 SZW786528 TJS786528 TTO786528 UDK786528 UNG786528 UXC786528 VGY786528 VQU786528 WAQ786528 WKM786528 WUI786528 HW852064 RS852064 ABO852064 ALK852064 AVG852064 BFC852064 BOY852064 BYU852064 CIQ852064 CSM852064 DCI852064 DME852064 DWA852064 EFW852064 EPS852064 EZO852064 FJK852064 FTG852064 GDC852064 GMY852064 GWU852064 HGQ852064 HQM852064 IAI852064 IKE852064 IUA852064 JDW852064 JNS852064 JXO852064 KHK852064 KRG852064 LBC852064 LKY852064 LUU852064 MEQ852064 MOM852064 MYI852064 NIE852064 NSA852064 OBW852064 OLS852064 OVO852064 PFK852064 PPG852064 PZC852064 QIY852064 QSU852064 RCQ852064 RMM852064 RWI852064 SGE852064 SQA852064 SZW852064 TJS852064 TTO852064 UDK852064 UNG852064 UXC852064 VGY852064 VQU852064 WAQ852064 WKM852064 WUI852064 HW917600 RS917600 ABO917600 ALK917600 AVG917600 BFC917600 BOY917600 BYU917600 CIQ917600 CSM917600 DCI917600 DME917600 DWA917600 EFW917600 EPS917600 EZO917600 FJK917600 FTG917600 GDC917600 GMY917600 GWU917600 HGQ917600 HQM917600 IAI917600 IKE917600 IUA917600 JDW917600 JNS917600 JXO917600 KHK917600 KRG917600 LBC917600 LKY917600 LUU917600 MEQ917600 MOM917600 MYI917600 NIE917600 NSA917600 OBW917600 OLS917600 OVO917600 PFK917600 PPG917600 PZC917600 QIY917600 QSU917600 RCQ917600 RMM917600 RWI917600 SGE917600 SQA917600 SZW917600 TJS917600 TTO917600 UDK917600 UNG917600 UXC917600 VGY917600 VQU917600 WAQ917600 WKM917600 WUI917600 HW983136 RS983136 ABO983136 ALK983136 AVG983136 BFC983136 BOY983136 BYU983136 CIQ983136 CSM983136 DCI983136 DME983136 DWA983136 EFW983136 EPS983136 EZO983136 FJK983136 FTG983136 GDC983136 GMY983136 GWU983136 HGQ983136 HQM983136 IAI983136 IKE983136 IUA983136 JDW983136 JNS983136 JXO983136 KHK983136 KRG983136 LBC983136 LKY983136 LUU983136 MEQ983136 MOM983136 MYI983136 NIE983136 NSA983136 OBW983136 OLS983136 OVO983136 PFK983136 PPG983136 PZC983136 QIY983136 QSU983136 RCQ983136 RMM983136 RWI983136 SGE983136 SQA983136 SZW983136 TJS983136 TTO983136 UDK983136 UNG983136 UXC983136 VGY983136 VQU983136 WAQ983136 WKM983136 WUI983136 HW65643 RS65643 ABO65643 ALK65643 AVG65643 BFC65643 BOY65643 BYU65643 CIQ65643 CSM65643 DCI65643 DME65643 DWA65643 EFW65643 EPS65643 EZO65643 FJK65643 FTG65643 GDC65643 GMY65643 GWU65643 HGQ65643 HQM65643 IAI65643 IKE65643 IUA65643 JDW65643 JNS65643 JXO65643 KHK65643 KRG65643 LBC65643 LKY65643 LUU65643 MEQ65643 MOM65643 MYI65643 NIE65643 NSA65643 OBW65643 OLS65643 OVO65643 PFK65643 PPG65643 PZC65643 QIY65643 QSU65643 RCQ65643 RMM65643 RWI65643 SGE65643 SQA65643 SZW65643 TJS65643 TTO65643 UDK65643 UNG65643 UXC65643 VGY65643 VQU65643 WAQ65643 WKM65643 WUI65643 HW131179 RS131179 ABO131179 ALK131179 AVG131179 BFC131179 BOY131179 BYU131179 CIQ131179 CSM131179 DCI131179 DME131179 DWA131179 EFW131179 EPS131179 EZO131179 FJK131179 FTG131179 GDC131179 GMY131179 GWU131179 HGQ131179 HQM131179 IAI131179 IKE131179 IUA131179 JDW131179 JNS131179 JXO131179 KHK131179 KRG131179 LBC131179 LKY131179 LUU131179 MEQ131179 MOM131179 MYI131179 NIE131179 NSA131179 OBW131179 OLS131179 OVO131179 PFK131179 PPG131179 PZC131179 QIY131179 QSU131179 RCQ131179 RMM131179 RWI131179 SGE131179 SQA131179 SZW131179 TJS131179 TTO131179 UDK131179 UNG131179 UXC131179 VGY131179 VQU131179 WAQ131179 WKM131179 WUI131179 HW196715 RS196715 ABO196715 ALK196715 AVG196715 BFC196715 BOY196715 BYU196715 CIQ196715 CSM196715 DCI196715 DME196715 DWA196715 EFW196715 EPS196715 EZO196715 FJK196715 FTG196715 GDC196715 GMY196715 GWU196715 HGQ196715 HQM196715 IAI196715 IKE196715 IUA196715 JDW196715 JNS196715 JXO196715 KHK196715 KRG196715 LBC196715 LKY196715 LUU196715 MEQ196715 MOM196715 MYI196715 NIE196715 NSA196715 OBW196715 OLS196715 OVO196715 PFK196715 PPG196715 PZC196715 QIY196715 QSU196715 RCQ196715 RMM196715 RWI196715 SGE196715 SQA196715 SZW196715 TJS196715 TTO196715 UDK196715 UNG196715 UXC196715 VGY196715 VQU196715 WAQ196715 WKM196715 WUI196715 HW262251 RS262251 ABO262251 ALK262251 AVG262251 BFC262251 BOY262251 BYU262251 CIQ262251 CSM262251 DCI262251 DME262251 DWA262251 EFW262251 EPS262251 EZO262251 FJK262251 FTG262251 GDC262251 GMY262251 GWU262251 HGQ262251 HQM262251 IAI262251 IKE262251 IUA262251 JDW262251 JNS262251 JXO262251 KHK262251 KRG262251 LBC262251 LKY262251 LUU262251 MEQ262251 MOM262251 MYI262251 NIE262251 NSA262251 OBW262251 OLS262251 OVO262251 PFK262251 PPG262251 PZC262251 QIY262251 QSU262251 RCQ262251 RMM262251 RWI262251 SGE262251 SQA262251 SZW262251 TJS262251 TTO262251 UDK262251 UNG262251 UXC262251 VGY262251 VQU262251 WAQ262251 WKM262251 WUI262251 HW327787 RS327787 ABO327787 ALK327787 AVG327787 BFC327787 BOY327787 BYU327787 CIQ327787 CSM327787 DCI327787 DME327787 DWA327787 EFW327787 EPS327787 EZO327787 FJK327787 FTG327787 GDC327787 GMY327787 GWU327787 HGQ327787 HQM327787 IAI327787 IKE327787 IUA327787 JDW327787 JNS327787 JXO327787 KHK327787 KRG327787 LBC327787 LKY327787 LUU327787 MEQ327787 MOM327787 MYI327787 NIE327787 NSA327787 OBW327787 OLS327787 OVO327787 PFK327787 PPG327787 PZC327787 QIY327787 QSU327787 RCQ327787 RMM327787 RWI327787 SGE327787 SQA327787 SZW327787 TJS327787 TTO327787 UDK327787 UNG327787 UXC327787 VGY327787 VQU327787 WAQ327787 WKM327787 WUI327787 HW393323 RS393323 ABO393323 ALK393323 AVG393323 BFC393323 BOY393323 BYU393323 CIQ393323 CSM393323 DCI393323 DME393323 DWA393323 EFW393323 EPS393323 EZO393323 FJK393323 FTG393323 GDC393323 GMY393323 GWU393323 HGQ393323 HQM393323 IAI393323 IKE393323 IUA393323 JDW393323 JNS393323 JXO393323 KHK393323 KRG393323 LBC393323 LKY393323 LUU393323 MEQ393323 MOM393323 MYI393323 NIE393323 NSA393323 OBW393323 OLS393323 OVO393323 PFK393323 PPG393323 PZC393323 QIY393323 QSU393323 RCQ393323 RMM393323 RWI393323 SGE393323 SQA393323 SZW393323 TJS393323 TTO393323 UDK393323 UNG393323 UXC393323 VGY393323 VQU393323 WAQ393323 WKM393323 WUI393323 HW458859 RS458859 ABO458859 ALK458859 AVG458859 BFC458859 BOY458859 BYU458859 CIQ458859 CSM458859 DCI458859 DME458859 DWA458859 EFW458859 EPS458859 EZO458859 FJK458859 FTG458859 GDC458859 GMY458859 GWU458859 HGQ458859 HQM458859 IAI458859 IKE458859 IUA458859 JDW458859 JNS458859 JXO458859 KHK458859 KRG458859 LBC458859 LKY458859 LUU458859 MEQ458859 MOM458859 MYI458859 NIE458859 NSA458859 OBW458859 OLS458859 OVO458859 PFK458859 PPG458859 PZC458859 QIY458859 QSU458859 RCQ458859 RMM458859 RWI458859 SGE458859 SQA458859 SZW458859 TJS458859 TTO458859 UDK458859 UNG458859 UXC458859 VGY458859 VQU458859 WAQ458859 WKM458859 WUI458859 HW524395 RS524395 ABO524395 ALK524395 AVG524395 BFC524395 BOY524395 BYU524395 CIQ524395 CSM524395 DCI524395 DME524395 DWA524395 EFW524395 EPS524395 EZO524395 FJK524395 FTG524395 GDC524395 GMY524395 GWU524395 HGQ524395 HQM524395 IAI524395 IKE524395 IUA524395 JDW524395 JNS524395 JXO524395 KHK524395 KRG524395 LBC524395 LKY524395 LUU524395 MEQ524395 MOM524395 MYI524395 NIE524395 NSA524395 OBW524395 OLS524395 OVO524395 PFK524395 PPG524395 PZC524395 QIY524395 QSU524395 RCQ524395 RMM524395 RWI524395 SGE524395 SQA524395 SZW524395 TJS524395 TTO524395 UDK524395 UNG524395 UXC524395 VGY524395 VQU524395 WAQ524395 WKM524395 WUI524395 HW589931 RS589931 ABO589931 ALK589931 AVG589931 BFC589931 BOY589931 BYU589931 CIQ589931 CSM589931 DCI589931 DME589931 DWA589931 EFW589931 EPS589931 EZO589931 FJK589931 FTG589931 GDC589931 GMY589931 GWU589931 HGQ589931 HQM589931 IAI589931 IKE589931 IUA589931 JDW589931 JNS589931 JXO589931 KHK589931 KRG589931 LBC589931 LKY589931 LUU589931 MEQ589931 MOM589931 MYI589931 NIE589931 NSA589931 OBW589931 OLS589931 OVO589931 PFK589931 PPG589931 PZC589931 QIY589931 QSU589931 RCQ589931 RMM589931 RWI589931 SGE589931 SQA589931 SZW589931 TJS589931 TTO589931 UDK589931 UNG589931 UXC589931 VGY589931 VQU589931 WAQ589931 WKM589931 WUI589931 HW655467 RS655467 ABO655467 ALK655467 AVG655467 BFC655467 BOY655467 BYU655467 CIQ655467 CSM655467 DCI655467 DME655467 DWA655467 EFW655467 EPS655467 EZO655467 FJK655467 FTG655467 GDC655467 GMY655467 GWU655467 HGQ655467 HQM655467 IAI655467 IKE655467 IUA655467 JDW655467 JNS655467 JXO655467 KHK655467 KRG655467 LBC655467 LKY655467 LUU655467 MEQ655467 MOM655467 MYI655467 NIE655467 NSA655467 OBW655467 OLS655467 OVO655467 PFK655467 PPG655467 PZC655467 QIY655467 QSU655467 RCQ655467 RMM655467 RWI655467 SGE655467 SQA655467 SZW655467 TJS655467 TTO655467 UDK655467 UNG655467 UXC655467 VGY655467 VQU655467 WAQ655467 WKM655467 WUI655467 HW721003 RS721003 ABO721003 ALK721003 AVG721003 BFC721003 BOY721003 BYU721003 CIQ721003 CSM721003 DCI721003 DME721003 DWA721003 EFW721003 EPS721003 EZO721003 FJK721003 FTG721003 GDC721003 GMY721003 GWU721003 HGQ721003 HQM721003 IAI721003 IKE721003 IUA721003 JDW721003 JNS721003 JXO721003 KHK721003 KRG721003 LBC721003 LKY721003 LUU721003 MEQ721003 MOM721003 MYI721003 NIE721003 NSA721003 OBW721003 OLS721003 OVO721003 PFK721003 PPG721003 PZC721003 QIY721003 QSU721003 RCQ721003 RMM721003 RWI721003 SGE721003 SQA721003 SZW721003 TJS721003 TTO721003 UDK721003 UNG721003 UXC721003 VGY721003 VQU721003 WAQ721003 WKM721003 WUI721003 HW786539 RS786539 ABO786539 ALK786539 AVG786539 BFC786539 BOY786539 BYU786539 CIQ786539 CSM786539 DCI786539 DME786539 DWA786539 EFW786539 EPS786539 EZO786539 FJK786539 FTG786539 GDC786539 GMY786539 GWU786539 HGQ786539 HQM786539 IAI786539 IKE786539 IUA786539 JDW786539 JNS786539 JXO786539 KHK786539 KRG786539 LBC786539 LKY786539 LUU786539 MEQ786539 MOM786539 MYI786539 NIE786539 NSA786539 OBW786539 OLS786539 OVO786539 PFK786539 PPG786539 PZC786539 QIY786539 QSU786539 RCQ786539 RMM786539 RWI786539 SGE786539 SQA786539 SZW786539 TJS786539 TTO786539 UDK786539 UNG786539 UXC786539 VGY786539 VQU786539 WAQ786539 WKM786539 WUI786539 HW852075 RS852075 ABO852075 ALK852075 AVG852075 BFC852075 BOY852075 BYU852075 CIQ852075 CSM852075 DCI852075 DME852075 DWA852075 EFW852075 EPS852075 EZO852075 FJK852075 FTG852075 GDC852075 GMY852075 GWU852075 HGQ852075 HQM852075 IAI852075 IKE852075 IUA852075 JDW852075 JNS852075 JXO852075 KHK852075 KRG852075 LBC852075 LKY852075 LUU852075 MEQ852075 MOM852075 MYI852075 NIE852075 NSA852075 OBW852075 OLS852075 OVO852075 PFK852075 PPG852075 PZC852075 QIY852075 QSU852075 RCQ852075 RMM852075 RWI852075 SGE852075 SQA852075 SZW852075 TJS852075 TTO852075 UDK852075 UNG852075 UXC852075 VGY852075 VQU852075 WAQ852075 WKM852075 WUI852075 HW917611 RS917611 ABO917611 ALK917611 AVG917611 BFC917611 BOY917611 BYU917611 CIQ917611 CSM917611 DCI917611 DME917611 DWA917611 EFW917611 EPS917611 EZO917611 FJK917611 FTG917611 GDC917611 GMY917611 GWU917611 HGQ917611 HQM917611 IAI917611 IKE917611 IUA917611 JDW917611 JNS917611 JXO917611 KHK917611 KRG917611 LBC917611 LKY917611 LUU917611 MEQ917611 MOM917611 MYI917611 NIE917611 NSA917611 OBW917611 OLS917611 OVO917611 PFK917611 PPG917611 PZC917611 QIY917611 QSU917611 RCQ917611 RMM917611 RWI917611 SGE917611 SQA917611 SZW917611 TJS917611 TTO917611 UDK917611 UNG917611 UXC917611 VGY917611 VQU917611 WAQ917611 WKM917611 WUI917611 HW983147 RS983147 ABO983147 ALK983147 AVG983147 BFC983147 BOY983147 BYU983147 CIQ983147 CSM983147 DCI983147 DME983147 DWA983147 EFW983147 EPS983147 EZO983147 FJK983147 FTG983147 GDC983147 GMY983147 GWU983147 HGQ983147 HQM983147 IAI983147 IKE983147 IUA983147 JDW983147 JNS983147 JXO983147 KHK983147 KRG983147 LBC983147 LKY983147 LUU983147 MEQ983147 MOM983147 MYI983147 NIE983147 NSA983147 OBW983147 OLS983147 OVO983147 PFK983147 PPG983147 PZC983147 QIY983147 QSU983147 RCQ983147 RMM983147 RWI983147 SGE983147 SQA983147 SZW983147 TJS983147 TTO983147 UDK983147 UNG983147 UXC983147 VGY983147 VQU983147 WAQ983147 WKM983147 WUI983147 HW65638 RS65638 ABO65638 ALK65638 AVG65638 BFC65638 BOY65638 BYU65638 CIQ65638 CSM65638 DCI65638 DME65638 DWA65638 EFW65638 EPS65638 EZO65638 FJK65638 FTG65638 GDC65638 GMY65638 GWU65638 HGQ65638 HQM65638 IAI65638 IKE65638 IUA65638 JDW65638 JNS65638 JXO65638 KHK65638 KRG65638 LBC65638 LKY65638 LUU65638 MEQ65638 MOM65638 MYI65638 NIE65638 NSA65638 OBW65638 OLS65638 OVO65638 PFK65638 PPG65638 PZC65638 QIY65638 QSU65638 RCQ65638 RMM65638 RWI65638 SGE65638 SQA65638 SZW65638 TJS65638 TTO65638 UDK65638 UNG65638 UXC65638 VGY65638 VQU65638 WAQ65638 WKM65638 WUI65638 HW131174 RS131174 ABO131174 ALK131174 AVG131174 BFC131174 BOY131174 BYU131174 CIQ131174 CSM131174 DCI131174 DME131174 DWA131174 EFW131174 EPS131174 EZO131174 FJK131174 FTG131174 GDC131174 GMY131174 GWU131174 HGQ131174 HQM131174 IAI131174 IKE131174 IUA131174 JDW131174 JNS131174 JXO131174 KHK131174 KRG131174 LBC131174 LKY131174 LUU131174 MEQ131174 MOM131174 MYI131174 NIE131174 NSA131174 OBW131174 OLS131174 OVO131174 PFK131174 PPG131174 PZC131174 QIY131174 QSU131174 RCQ131174 RMM131174 RWI131174 SGE131174 SQA131174 SZW131174 TJS131174 TTO131174 UDK131174 UNG131174 UXC131174 VGY131174 VQU131174 WAQ131174 WKM131174 WUI131174 HW196710 RS196710 ABO196710 ALK196710 AVG196710 BFC196710 BOY196710 BYU196710 CIQ196710 CSM196710 DCI196710 DME196710 DWA196710 EFW196710 EPS196710 EZO196710 FJK196710 FTG196710 GDC196710 GMY196710 GWU196710 HGQ196710 HQM196710 IAI196710 IKE196710 IUA196710 JDW196710 JNS196710 JXO196710 KHK196710 KRG196710 LBC196710 LKY196710 LUU196710 MEQ196710 MOM196710 MYI196710 NIE196710 NSA196710 OBW196710 OLS196710 OVO196710 PFK196710 PPG196710 PZC196710 QIY196710 QSU196710 RCQ196710 RMM196710 RWI196710 SGE196710 SQA196710 SZW196710 TJS196710 TTO196710 UDK196710 UNG196710 UXC196710 VGY196710 VQU196710 WAQ196710 WKM196710 WUI196710 HW262246 RS262246 ABO262246 ALK262246 AVG262246 BFC262246 BOY262246 BYU262246 CIQ262246 CSM262246 DCI262246 DME262246 DWA262246 EFW262246 EPS262246 EZO262246 FJK262246 FTG262246 GDC262246 GMY262246 GWU262246 HGQ262246 HQM262246 IAI262246 IKE262246 IUA262246 JDW262246 JNS262246 JXO262246 KHK262246 KRG262246 LBC262246 LKY262246 LUU262246 MEQ262246 MOM262246 MYI262246 NIE262246 NSA262246 OBW262246 OLS262246 OVO262246 PFK262246 PPG262246 PZC262246 QIY262246 QSU262246 RCQ262246 RMM262246 RWI262246 SGE262246 SQA262246 SZW262246 TJS262246 TTO262246 UDK262246 UNG262246 UXC262246 VGY262246 VQU262246 WAQ262246 WKM262246 WUI262246 HW327782 RS327782 ABO327782 ALK327782 AVG327782 BFC327782 BOY327782 BYU327782 CIQ327782 CSM327782 DCI327782 DME327782 DWA327782 EFW327782 EPS327782 EZO327782 FJK327782 FTG327782 GDC327782 GMY327782 GWU327782 HGQ327782 HQM327782 IAI327782 IKE327782 IUA327782 JDW327782 JNS327782 JXO327782 KHK327782 KRG327782 LBC327782 LKY327782 LUU327782 MEQ327782 MOM327782 MYI327782 NIE327782 NSA327782 OBW327782 OLS327782 OVO327782 PFK327782 PPG327782 PZC327782 QIY327782 QSU327782 RCQ327782 RMM327782 RWI327782 SGE327782 SQA327782 SZW327782 TJS327782 TTO327782 UDK327782 UNG327782 UXC327782 VGY327782 VQU327782 WAQ327782 WKM327782 WUI327782 HW393318 RS393318 ABO393318 ALK393318 AVG393318 BFC393318 BOY393318 BYU393318 CIQ393318 CSM393318 DCI393318 DME393318 DWA393318 EFW393318 EPS393318 EZO393318 FJK393318 FTG393318 GDC393318 GMY393318 GWU393318 HGQ393318 HQM393318 IAI393318 IKE393318 IUA393318 JDW393318 JNS393318 JXO393318 KHK393318 KRG393318 LBC393318 LKY393318 LUU393318 MEQ393318 MOM393318 MYI393318 NIE393318 NSA393318 OBW393318 OLS393318 OVO393318 PFK393318 PPG393318 PZC393318 QIY393318 QSU393318 RCQ393318 RMM393318 RWI393318 SGE393318 SQA393318 SZW393318 TJS393318 TTO393318 UDK393318 UNG393318 UXC393318 VGY393318 VQU393318 WAQ393318 WKM393318 WUI393318 HW458854 RS458854 ABO458854 ALK458854 AVG458854 BFC458854 BOY458854 BYU458854 CIQ458854 CSM458854 DCI458854 DME458854 DWA458854 EFW458854 EPS458854 EZO458854 FJK458854 FTG458854 GDC458854 GMY458854 GWU458854 HGQ458854 HQM458854 IAI458854 IKE458854 IUA458854 JDW458854 JNS458854 JXO458854 KHK458854 KRG458854 LBC458854 LKY458854 LUU458854 MEQ458854 MOM458854 MYI458854 NIE458854 NSA458854 OBW458854 OLS458854 OVO458854 PFK458854 PPG458854 PZC458854 QIY458854 QSU458854 RCQ458854 RMM458854 RWI458854 SGE458854 SQA458854 SZW458854 TJS458854 TTO458854 UDK458854 UNG458854 UXC458854 VGY458854 VQU458854 WAQ458854 WKM458854 WUI458854 HW524390 RS524390 ABO524390 ALK524390 AVG524390 BFC524390 BOY524390 BYU524390 CIQ524390 CSM524390 DCI524390 DME524390 DWA524390 EFW524390 EPS524390 EZO524390 FJK524390 FTG524390 GDC524390 GMY524390 GWU524390 HGQ524390 HQM524390 IAI524390 IKE524390 IUA524390 JDW524390 JNS524390 JXO524390 KHK524390 KRG524390 LBC524390 LKY524390 LUU524390 MEQ524390 MOM524390 MYI524390 NIE524390 NSA524390 OBW524390 OLS524390 OVO524390 PFK524390 PPG524390 PZC524390 QIY524390 QSU524390 RCQ524390 RMM524390 RWI524390 SGE524390 SQA524390 SZW524390 TJS524390 TTO524390 UDK524390 UNG524390 UXC524390 VGY524390 VQU524390 WAQ524390 WKM524390 WUI524390 HW589926 RS589926 ABO589926 ALK589926 AVG589926 BFC589926 BOY589926 BYU589926 CIQ589926 CSM589926 DCI589926 DME589926 DWA589926 EFW589926 EPS589926 EZO589926 FJK589926 FTG589926 GDC589926 GMY589926 GWU589926 HGQ589926 HQM589926 IAI589926 IKE589926 IUA589926 JDW589926 JNS589926 JXO589926 KHK589926 KRG589926 LBC589926 LKY589926 LUU589926 MEQ589926 MOM589926 MYI589926 NIE589926 NSA589926 OBW589926 OLS589926 OVO589926 PFK589926 PPG589926 PZC589926 QIY589926 QSU589926 RCQ589926 RMM589926 RWI589926 SGE589926 SQA589926 SZW589926 TJS589926 TTO589926 UDK589926 UNG589926 UXC589926 VGY589926 VQU589926 WAQ589926 WKM589926 WUI589926 HW655462 RS655462 ABO655462 ALK655462 AVG655462 BFC655462 BOY655462 BYU655462 CIQ655462 CSM655462 DCI655462 DME655462 DWA655462 EFW655462 EPS655462 EZO655462 FJK655462 FTG655462 GDC655462 GMY655462 GWU655462 HGQ655462 HQM655462 IAI655462 IKE655462 IUA655462 JDW655462 JNS655462 JXO655462 KHK655462 KRG655462 LBC655462 LKY655462 LUU655462 MEQ655462 MOM655462 MYI655462 NIE655462 NSA655462 OBW655462 OLS655462 OVO655462 PFK655462 PPG655462 PZC655462 QIY655462 QSU655462 RCQ655462 RMM655462 RWI655462 SGE655462 SQA655462 SZW655462 TJS655462 TTO655462 UDK655462 UNG655462 UXC655462 VGY655462 VQU655462 WAQ655462 WKM655462 WUI655462 HW720998 RS720998 ABO720998 ALK720998 AVG720998 BFC720998 BOY720998 BYU720998 CIQ720998 CSM720998 DCI720998 DME720998 DWA720998 EFW720998 EPS720998 EZO720998 FJK720998 FTG720998 GDC720998 GMY720998 GWU720998 HGQ720998 HQM720998 IAI720998 IKE720998 IUA720998 JDW720998 JNS720998 JXO720998 KHK720998 KRG720998 LBC720998 LKY720998 LUU720998 MEQ720998 MOM720998 MYI720998 NIE720998 NSA720998 OBW720998 OLS720998 OVO720998 PFK720998 PPG720998 PZC720998 QIY720998 QSU720998 RCQ720998 RMM720998 RWI720998 SGE720998 SQA720998 SZW720998 TJS720998 TTO720998 UDK720998 UNG720998 UXC720998 VGY720998 VQU720998 WAQ720998 WKM720998 WUI720998 HW786534 RS786534 ABO786534 ALK786534 AVG786534 BFC786534 BOY786534 BYU786534 CIQ786534 CSM786534 DCI786534 DME786534 DWA786534 EFW786534 EPS786534 EZO786534 FJK786534 FTG786534 GDC786534 GMY786534 GWU786534 HGQ786534 HQM786534 IAI786534 IKE786534 IUA786534 JDW786534 JNS786534 JXO786534 KHK786534 KRG786534 LBC786534 LKY786534 LUU786534 MEQ786534 MOM786534 MYI786534 NIE786534 NSA786534 OBW786534 OLS786534 OVO786534 PFK786534 PPG786534 PZC786534 QIY786534 QSU786534 RCQ786534 RMM786534 RWI786534 SGE786534 SQA786534 SZW786534 TJS786534 TTO786534 UDK786534 UNG786534 UXC786534 VGY786534 VQU786534 WAQ786534 WKM786534 WUI786534 HW852070 RS852070 ABO852070 ALK852070 AVG852070 BFC852070 BOY852070 BYU852070 CIQ852070 CSM852070 DCI852070 DME852070 DWA852070 EFW852070 EPS852070 EZO852070 FJK852070 FTG852070 GDC852070 GMY852070 GWU852070 HGQ852070 HQM852070 IAI852070 IKE852070 IUA852070 JDW852070 JNS852070 JXO852070 KHK852070 KRG852070 LBC852070 LKY852070 LUU852070 MEQ852070 MOM852070 MYI852070 NIE852070 NSA852070 OBW852070 OLS852070 OVO852070 PFK852070 PPG852070 PZC852070 QIY852070 QSU852070 RCQ852070 RMM852070 RWI852070 SGE852070 SQA852070 SZW852070 TJS852070 TTO852070 UDK852070 UNG852070 UXC852070 VGY852070 VQU852070 WAQ852070 WKM852070 WUI852070 HW917606 RS917606 ABO917606 ALK917606 AVG917606 BFC917606 BOY917606 BYU917606 CIQ917606 CSM917606 DCI917606 DME917606 DWA917606 EFW917606 EPS917606 EZO917606 FJK917606 FTG917606 GDC917606 GMY917606 GWU917606 HGQ917606 HQM917606 IAI917606 IKE917606 IUA917606 JDW917606 JNS917606 JXO917606 KHK917606 KRG917606 LBC917606 LKY917606 LUU917606 MEQ917606 MOM917606 MYI917606 NIE917606 NSA917606 OBW917606 OLS917606 OVO917606 PFK917606 PPG917606 PZC917606 QIY917606 QSU917606 RCQ917606 RMM917606 RWI917606 SGE917606 SQA917606 SZW917606 TJS917606 TTO917606 UDK917606 UNG917606 UXC917606 VGY917606 VQU917606 WAQ917606 WKM917606 WUI917606 HW983142 RS983142 ABO983142 ALK983142 AVG983142 BFC983142 BOY983142 BYU983142 CIQ983142 CSM983142 DCI983142 DME983142 DWA983142 EFW983142 EPS983142 EZO983142 FJK983142 FTG983142 GDC983142 GMY983142 GWU983142 HGQ983142 HQM983142 IAI983142 IKE983142 IUA983142 JDW983142 JNS983142 JXO983142 KHK983142 KRG983142 LBC983142 LKY983142 LUU983142 MEQ983142 MOM983142 MYI983142 NIE983142 NSA983142 OBW983142 OLS983142 OVO983142 PFK983142 PPG983142 PZC983142 QIY983142 QSU983142 RCQ983142 RMM983142 RWI983142 SGE983142 SQA983142 SZW983142 TJS983142 TTO983142 UDK983142 UNG983142 UXC983142 VGY983142 VQU983142 WAQ983142 WKM983142 WUI983142 E983142 E917606 E852070 E786534 E720998 E655462 E589926 E524390 E458854 E393318 E327782 E262246 E196710 E131174 E65638 E983147 E917611 E852075 E786539 E721003 E655467 E589931 E524395 E458859 E393323 E327787 E262251 E196715 E131179 E65643 E983136 E917600 E852064 E786528 E720992 E655456 E589920 E524384 E458848 E393312 E327776 E262240 E196704 E131168" xr:uid="{00000000-0002-0000-0400-000000000000}">
      <formula1>"Yes,No"</formula1>
    </dataValidation>
  </dataValidations>
  <pageMargins left="0.7" right="0.7" top="0.75" bottom="0.75" header="0.3" footer="0.3"/>
  <pageSetup orientation="portrait" horizontalDpi="4294967293" r:id="rId1"/>
  <ignoredErrors>
    <ignoredError sqref="E107 G203" 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N159"/>
  <sheetViews>
    <sheetView showGridLines="0" zoomScale="70" zoomScaleNormal="70" workbookViewId="0">
      <pane xSplit="1" ySplit="3" topLeftCell="B4" activePane="bottomRight" state="frozen"/>
      <selection pane="topRight" activeCell="B1" sqref="B1"/>
      <selection pane="bottomLeft" activeCell="A4" sqref="A4"/>
      <selection pane="bottomRight" activeCell="B5" sqref="B5"/>
    </sheetView>
  </sheetViews>
  <sheetFormatPr baseColWidth="10" defaultColWidth="9.6640625" defaultRowHeight="15"/>
  <cols>
    <col min="1" max="1" width="2.6640625" customWidth="1"/>
    <col min="2" max="2" width="69.6640625" customWidth="1"/>
    <col min="3" max="4" width="15.6640625" customWidth="1"/>
    <col min="5" max="5" width="48.1640625" customWidth="1"/>
    <col min="6" max="7" width="13.6640625" customWidth="1"/>
    <col min="8" max="11" width="25.83203125" customWidth="1"/>
    <col min="12" max="14" width="13.6640625" customWidth="1"/>
  </cols>
  <sheetData>
    <row r="1" spans="2:11" ht="16" thickBot="1">
      <c r="D1" s="67"/>
      <c r="F1" s="68"/>
    </row>
    <row r="2" spans="2:11" ht="30" customHeight="1" thickBot="1">
      <c r="B2" s="95" t="s">
        <v>230</v>
      </c>
      <c r="C2" s="71"/>
      <c r="D2" s="96"/>
      <c r="E2" s="72"/>
      <c r="F2" s="68"/>
      <c r="G2" s="327"/>
      <c r="H2" s="327"/>
      <c r="I2" s="327"/>
      <c r="J2" s="327"/>
      <c r="K2" s="327"/>
    </row>
    <row r="3" spans="2:11" ht="19" thickBot="1">
      <c r="B3" s="97" t="s">
        <v>169</v>
      </c>
      <c r="C3" s="98"/>
      <c r="D3" s="99"/>
      <c r="E3" s="106"/>
      <c r="F3" s="68"/>
      <c r="G3" s="327"/>
      <c r="H3" s="327"/>
      <c r="I3" s="327"/>
      <c r="J3" s="327"/>
      <c r="K3" s="327"/>
    </row>
    <row r="4" spans="2:11" ht="16" thickBot="1">
      <c r="D4" s="67"/>
      <c r="F4" s="68"/>
    </row>
    <row r="5" spans="2:11" ht="35" thickBot="1">
      <c r="B5" s="120" t="str">
        <f>Inputs!E16</f>
        <v>Generation Equipment</v>
      </c>
      <c r="C5" s="110" t="s">
        <v>0</v>
      </c>
      <c r="D5" s="111" t="s">
        <v>96</v>
      </c>
      <c r="E5" s="101" t="s">
        <v>165</v>
      </c>
    </row>
    <row r="6" spans="2:11" ht="16">
      <c r="B6" s="143" t="s">
        <v>342</v>
      </c>
      <c r="C6" s="146">
        <v>6000000</v>
      </c>
      <c r="D6" s="144">
        <v>1</v>
      </c>
      <c r="E6" s="317" t="s">
        <v>20</v>
      </c>
    </row>
    <row r="7" spans="2:11" ht="16">
      <c r="B7" s="145" t="s">
        <v>343</v>
      </c>
      <c r="C7" s="146">
        <v>3000000</v>
      </c>
      <c r="D7" s="144">
        <v>1</v>
      </c>
      <c r="E7" s="317" t="s">
        <v>20</v>
      </c>
    </row>
    <row r="8" spans="2:11" ht="16">
      <c r="B8" s="145" t="s">
        <v>344</v>
      </c>
      <c r="C8" s="146">
        <v>250000</v>
      </c>
      <c r="D8" s="144">
        <v>1</v>
      </c>
      <c r="E8" s="317" t="s">
        <v>20</v>
      </c>
    </row>
    <row r="9" spans="2:11" ht="16">
      <c r="B9" s="145" t="s">
        <v>345</v>
      </c>
      <c r="C9" s="146">
        <v>250000</v>
      </c>
      <c r="D9" s="144">
        <v>1</v>
      </c>
      <c r="E9" s="317" t="s">
        <v>20</v>
      </c>
    </row>
    <row r="10" spans="2:11" ht="16">
      <c r="B10" s="145" t="s">
        <v>346</v>
      </c>
      <c r="C10" s="146">
        <v>30000</v>
      </c>
      <c r="D10" s="144">
        <v>1</v>
      </c>
      <c r="E10" s="317" t="s">
        <v>20</v>
      </c>
    </row>
    <row r="11" spans="2:11" ht="16">
      <c r="B11" s="145" t="s">
        <v>347</v>
      </c>
      <c r="C11" s="146">
        <v>0</v>
      </c>
      <c r="D11" s="144">
        <v>1</v>
      </c>
      <c r="E11" s="317" t="s">
        <v>20</v>
      </c>
    </row>
    <row r="12" spans="2:11" ht="16">
      <c r="B12" s="145" t="s">
        <v>348</v>
      </c>
      <c r="C12" s="146">
        <v>600000</v>
      </c>
      <c r="D12" s="144">
        <v>1</v>
      </c>
      <c r="E12" s="317" t="s">
        <v>20</v>
      </c>
    </row>
    <row r="13" spans="2:11" ht="16">
      <c r="B13" s="145" t="s">
        <v>349</v>
      </c>
      <c r="C13" s="146">
        <v>0</v>
      </c>
      <c r="D13" s="144">
        <v>1</v>
      </c>
      <c r="E13" s="317" t="s">
        <v>20</v>
      </c>
    </row>
    <row r="14" spans="2:11" ht="16">
      <c r="B14" s="145" t="s">
        <v>185</v>
      </c>
      <c r="C14" s="146">
        <v>0</v>
      </c>
      <c r="D14" s="144">
        <v>1</v>
      </c>
      <c r="E14" s="317" t="s">
        <v>20</v>
      </c>
    </row>
    <row r="15" spans="2:11" ht="16">
      <c r="B15" s="145" t="s">
        <v>97</v>
      </c>
      <c r="C15" s="146">
        <v>0</v>
      </c>
      <c r="D15" s="144">
        <v>1</v>
      </c>
      <c r="E15" s="317" t="s">
        <v>20</v>
      </c>
    </row>
    <row r="16" spans="2:11" ht="16">
      <c r="B16" s="145" t="s">
        <v>97</v>
      </c>
      <c r="C16" s="146">
        <v>0</v>
      </c>
      <c r="D16" s="144">
        <v>1</v>
      </c>
      <c r="E16" s="317" t="s">
        <v>20</v>
      </c>
    </row>
    <row r="17" spans="2:5" ht="16">
      <c r="B17" s="145" t="s">
        <v>97</v>
      </c>
      <c r="C17" s="146">
        <v>0</v>
      </c>
      <c r="D17" s="144">
        <v>1</v>
      </c>
      <c r="E17" s="317" t="s">
        <v>20</v>
      </c>
    </row>
    <row r="18" spans="2:5" ht="16">
      <c r="B18" s="145" t="s">
        <v>97</v>
      </c>
      <c r="C18" s="146">
        <v>0</v>
      </c>
      <c r="D18" s="144">
        <v>1</v>
      </c>
      <c r="E18" s="317" t="s">
        <v>20</v>
      </c>
    </row>
    <row r="19" spans="2:5" ht="16">
      <c r="B19" s="145" t="s">
        <v>97</v>
      </c>
      <c r="C19" s="146">
        <v>0</v>
      </c>
      <c r="D19" s="144">
        <v>1</v>
      </c>
      <c r="E19" s="317" t="s">
        <v>20</v>
      </c>
    </row>
    <row r="20" spans="2:5" ht="16">
      <c r="B20" s="145" t="s">
        <v>97</v>
      </c>
      <c r="C20" s="146">
        <v>0</v>
      </c>
      <c r="D20" s="144">
        <v>1</v>
      </c>
      <c r="E20" s="317" t="s">
        <v>20</v>
      </c>
    </row>
    <row r="21" spans="2:5" ht="16">
      <c r="B21" s="145" t="s">
        <v>97</v>
      </c>
      <c r="C21" s="146">
        <v>0</v>
      </c>
      <c r="D21" s="144">
        <v>1</v>
      </c>
      <c r="E21" s="317" t="s">
        <v>20</v>
      </c>
    </row>
    <row r="22" spans="2:5" ht="16">
      <c r="B22" s="145" t="s">
        <v>97</v>
      </c>
      <c r="C22" s="146">
        <v>0</v>
      </c>
      <c r="D22" s="144">
        <v>1</v>
      </c>
      <c r="E22" s="317" t="s">
        <v>20</v>
      </c>
    </row>
    <row r="23" spans="2:5" ht="16">
      <c r="B23" s="145" t="s">
        <v>97</v>
      </c>
      <c r="C23" s="146">
        <v>0</v>
      </c>
      <c r="D23" s="144">
        <v>1</v>
      </c>
      <c r="E23" s="317" t="s">
        <v>20</v>
      </c>
    </row>
    <row r="24" spans="2:5" ht="16">
      <c r="B24" s="145" t="s">
        <v>97</v>
      </c>
      <c r="C24" s="146">
        <v>0</v>
      </c>
      <c r="D24" s="144">
        <v>1</v>
      </c>
      <c r="E24" s="317" t="s">
        <v>20</v>
      </c>
    </row>
    <row r="25" spans="2:5" ht="17" thickBot="1">
      <c r="B25" s="147" t="s">
        <v>97</v>
      </c>
      <c r="C25" s="148">
        <v>0</v>
      </c>
      <c r="D25" s="149">
        <v>1</v>
      </c>
      <c r="E25" s="317" t="s">
        <v>20</v>
      </c>
    </row>
    <row r="26" spans="2:5" ht="30" customHeight="1" thickTop="1">
      <c r="B26" s="107" t="s">
        <v>170</v>
      </c>
      <c r="C26" s="108">
        <f>SUM(C6:C25)</f>
        <v>10130000</v>
      </c>
      <c r="D26" s="79">
        <f>SUMPRODUCT(C6:C25,D6:D25)/C26</f>
        <v>1</v>
      </c>
      <c r="E26" s="109"/>
    </row>
    <row r="27" spans="2:5" ht="16.5" customHeight="1">
      <c r="B27" s="115"/>
      <c r="C27" s="116"/>
      <c r="D27" s="102"/>
      <c r="E27" s="26"/>
    </row>
    <row r="28" spans="2:5" ht="30" customHeight="1">
      <c r="B28" s="76" t="s">
        <v>98</v>
      </c>
      <c r="C28" s="116"/>
      <c r="D28" s="102"/>
      <c r="E28" s="26"/>
    </row>
    <row r="29" spans="2:5" s="15" customFormat="1" ht="17" thickBot="1">
      <c r="B29" s="117"/>
      <c r="C29" s="118"/>
      <c r="D29" s="119"/>
      <c r="E29" s="114"/>
    </row>
    <row r="30" spans="2:5" ht="30" customHeight="1" thickBot="1">
      <c r="B30" s="120" t="str">
        <f>Inputs!E17</f>
        <v>Balance of Plant</v>
      </c>
      <c r="C30" s="110" t="s">
        <v>0</v>
      </c>
      <c r="D30" s="111" t="s">
        <v>96</v>
      </c>
      <c r="E30" s="101" t="s">
        <v>165</v>
      </c>
    </row>
    <row r="31" spans="2:5" ht="16">
      <c r="B31" s="143" t="s">
        <v>350</v>
      </c>
      <c r="C31" s="146">
        <v>500000</v>
      </c>
      <c r="D31" s="144">
        <v>1</v>
      </c>
      <c r="E31" s="317" t="s">
        <v>20</v>
      </c>
    </row>
    <row r="32" spans="2:5" ht="16">
      <c r="B32" s="145" t="s">
        <v>351</v>
      </c>
      <c r="C32" s="146">
        <v>500000</v>
      </c>
      <c r="D32" s="144">
        <v>0</v>
      </c>
      <c r="E32" s="317" t="s">
        <v>21</v>
      </c>
    </row>
    <row r="33" spans="2:5" ht="16">
      <c r="B33" s="145" t="s">
        <v>352</v>
      </c>
      <c r="C33" s="146">
        <v>250000</v>
      </c>
      <c r="D33" s="144">
        <v>0</v>
      </c>
      <c r="E33" s="317" t="s">
        <v>21</v>
      </c>
    </row>
    <row r="34" spans="2:5" ht="16">
      <c r="B34" s="145" t="s">
        <v>353</v>
      </c>
      <c r="C34" s="146">
        <v>750000</v>
      </c>
      <c r="D34" s="144">
        <v>0</v>
      </c>
      <c r="E34" s="317" t="s">
        <v>21</v>
      </c>
    </row>
    <row r="35" spans="2:5" ht="16">
      <c r="B35" s="145" t="s">
        <v>178</v>
      </c>
      <c r="C35" s="146">
        <v>2500000</v>
      </c>
      <c r="D35" s="144">
        <v>1</v>
      </c>
      <c r="E35" s="317" t="s">
        <v>20</v>
      </c>
    </row>
    <row r="36" spans="2:5" ht="16">
      <c r="B36" s="145" t="s">
        <v>354</v>
      </c>
      <c r="C36" s="146">
        <v>2000000</v>
      </c>
      <c r="D36" s="144">
        <v>1</v>
      </c>
      <c r="E36" s="317" t="s">
        <v>20</v>
      </c>
    </row>
    <row r="37" spans="2:5" ht="16">
      <c r="B37" s="145" t="s">
        <v>355</v>
      </c>
      <c r="C37" s="146">
        <v>1500000</v>
      </c>
      <c r="D37" s="144">
        <v>1</v>
      </c>
      <c r="E37" s="317" t="s">
        <v>20</v>
      </c>
    </row>
    <row r="38" spans="2:5" ht="16">
      <c r="B38" s="145" t="s">
        <v>356</v>
      </c>
      <c r="C38" s="146">
        <v>750000</v>
      </c>
      <c r="D38" s="144">
        <v>1</v>
      </c>
      <c r="E38" s="317" t="s">
        <v>20</v>
      </c>
    </row>
    <row r="39" spans="2:5" ht="16">
      <c r="B39" s="145" t="s">
        <v>349</v>
      </c>
      <c r="C39" s="146">
        <v>0</v>
      </c>
      <c r="D39" s="144">
        <v>1</v>
      </c>
      <c r="E39" s="317" t="s">
        <v>20</v>
      </c>
    </row>
    <row r="40" spans="2:5" ht="16">
      <c r="B40" s="145" t="s">
        <v>357</v>
      </c>
      <c r="C40" s="146">
        <v>250000</v>
      </c>
      <c r="D40" s="144">
        <v>0</v>
      </c>
      <c r="E40" s="317" t="s">
        <v>22</v>
      </c>
    </row>
    <row r="41" spans="2:5" ht="16">
      <c r="B41" s="145" t="s">
        <v>97</v>
      </c>
      <c r="C41" s="146">
        <v>0</v>
      </c>
      <c r="D41" s="144">
        <v>1</v>
      </c>
      <c r="E41" s="317" t="s">
        <v>20</v>
      </c>
    </row>
    <row r="42" spans="2:5" ht="16">
      <c r="B42" s="145" t="s">
        <v>97</v>
      </c>
      <c r="C42" s="146">
        <v>0</v>
      </c>
      <c r="D42" s="144">
        <v>1</v>
      </c>
      <c r="E42" s="317" t="s">
        <v>20</v>
      </c>
    </row>
    <row r="43" spans="2:5" ht="16">
      <c r="B43" s="145" t="s">
        <v>97</v>
      </c>
      <c r="C43" s="146">
        <v>0</v>
      </c>
      <c r="D43" s="144">
        <v>1</v>
      </c>
      <c r="E43" s="317" t="s">
        <v>20</v>
      </c>
    </row>
    <row r="44" spans="2:5" ht="16">
      <c r="B44" s="145" t="s">
        <v>97</v>
      </c>
      <c r="C44" s="146">
        <v>0</v>
      </c>
      <c r="D44" s="144">
        <v>1</v>
      </c>
      <c r="E44" s="317" t="s">
        <v>20</v>
      </c>
    </row>
    <row r="45" spans="2:5" ht="16">
      <c r="B45" s="145" t="s">
        <v>97</v>
      </c>
      <c r="C45" s="146">
        <v>0</v>
      </c>
      <c r="D45" s="144">
        <v>1</v>
      </c>
      <c r="E45" s="317" t="s">
        <v>20</v>
      </c>
    </row>
    <row r="46" spans="2:5" ht="16">
      <c r="B46" s="145" t="s">
        <v>97</v>
      </c>
      <c r="C46" s="146">
        <v>0</v>
      </c>
      <c r="D46" s="144">
        <v>1</v>
      </c>
      <c r="E46" s="317" t="s">
        <v>20</v>
      </c>
    </row>
    <row r="47" spans="2:5" ht="16">
      <c r="B47" s="145" t="s">
        <v>97</v>
      </c>
      <c r="C47" s="146">
        <v>0</v>
      </c>
      <c r="D47" s="144">
        <v>1</v>
      </c>
      <c r="E47" s="317" t="s">
        <v>20</v>
      </c>
    </row>
    <row r="48" spans="2:5" ht="16">
      <c r="B48" s="145" t="s">
        <v>97</v>
      </c>
      <c r="C48" s="146">
        <v>0</v>
      </c>
      <c r="D48" s="144">
        <v>1</v>
      </c>
      <c r="E48" s="317" t="s">
        <v>20</v>
      </c>
    </row>
    <row r="49" spans="2:5" ht="16">
      <c r="B49" s="145" t="s">
        <v>97</v>
      </c>
      <c r="C49" s="146">
        <v>0</v>
      </c>
      <c r="D49" s="144">
        <v>1</v>
      </c>
      <c r="E49" s="317" t="s">
        <v>20</v>
      </c>
    </row>
    <row r="50" spans="2:5" ht="17" thickBot="1">
      <c r="B50" s="147" t="s">
        <v>97</v>
      </c>
      <c r="C50" s="148">
        <v>0</v>
      </c>
      <c r="D50" s="149">
        <v>1</v>
      </c>
      <c r="E50" s="317" t="s">
        <v>20</v>
      </c>
    </row>
    <row r="51" spans="2:5" ht="30" customHeight="1" thickTop="1">
      <c r="B51" s="107" t="s">
        <v>172</v>
      </c>
      <c r="C51" s="108">
        <f>SUM(C31:C50)</f>
        <v>9000000</v>
      </c>
      <c r="D51" s="79">
        <f>SUMPRODUCT(C31:C50,D31:D50)/C51</f>
        <v>0.80555555555555558</v>
      </c>
      <c r="E51" s="75"/>
    </row>
    <row r="53" spans="2:5" ht="30" customHeight="1">
      <c r="B53" s="76" t="s">
        <v>98</v>
      </c>
    </row>
    <row r="54" spans="2:5" ht="16" thickBot="1"/>
    <row r="55" spans="2:5" ht="35" thickBot="1">
      <c r="B55" s="69" t="str">
        <f>Inputs!E18</f>
        <v>Interconnection</v>
      </c>
      <c r="C55" s="110" t="s">
        <v>0</v>
      </c>
      <c r="D55" s="111" t="s">
        <v>96</v>
      </c>
      <c r="E55" s="101" t="s">
        <v>165</v>
      </c>
    </row>
    <row r="56" spans="2:5" ht="16">
      <c r="B56" s="143" t="s">
        <v>99</v>
      </c>
      <c r="C56" s="319">
        <v>750000</v>
      </c>
      <c r="D56" s="144">
        <v>0.5</v>
      </c>
      <c r="E56" s="317" t="s">
        <v>23</v>
      </c>
    </row>
    <row r="57" spans="2:5" ht="16">
      <c r="B57" s="145" t="s">
        <v>187</v>
      </c>
      <c r="C57" s="319">
        <v>500000</v>
      </c>
      <c r="D57" s="144">
        <v>0.5</v>
      </c>
      <c r="E57" s="317" t="s">
        <v>23</v>
      </c>
    </row>
    <row r="58" spans="2:5" ht="16">
      <c r="B58" s="145" t="s">
        <v>186</v>
      </c>
      <c r="C58" s="319">
        <v>250000</v>
      </c>
      <c r="D58" s="144">
        <v>0.5</v>
      </c>
      <c r="E58" s="317" t="s">
        <v>23</v>
      </c>
    </row>
    <row r="59" spans="2:5" ht="16">
      <c r="B59" s="145" t="s">
        <v>188</v>
      </c>
      <c r="C59" s="319">
        <v>1500000</v>
      </c>
      <c r="D59" s="144">
        <v>0.5</v>
      </c>
      <c r="E59" s="317" t="s">
        <v>23</v>
      </c>
    </row>
    <row r="60" spans="2:5" ht="16">
      <c r="B60" s="318" t="s">
        <v>97</v>
      </c>
      <c r="C60" s="319">
        <v>0</v>
      </c>
      <c r="D60" s="144">
        <v>0.5</v>
      </c>
      <c r="E60" s="317" t="s">
        <v>23</v>
      </c>
    </row>
    <row r="61" spans="2:5" ht="16">
      <c r="B61" s="318" t="s">
        <v>97</v>
      </c>
      <c r="C61" s="319">
        <v>0</v>
      </c>
      <c r="D61" s="144">
        <v>0.5</v>
      </c>
      <c r="E61" s="317" t="s">
        <v>23</v>
      </c>
    </row>
    <row r="62" spans="2:5" ht="16">
      <c r="B62" s="318" t="s">
        <v>97</v>
      </c>
      <c r="C62" s="319">
        <v>0</v>
      </c>
      <c r="D62" s="144">
        <v>0.5</v>
      </c>
      <c r="E62" s="317" t="s">
        <v>23</v>
      </c>
    </row>
    <row r="63" spans="2:5" ht="16">
      <c r="B63" s="318" t="s">
        <v>97</v>
      </c>
      <c r="C63" s="319">
        <v>0</v>
      </c>
      <c r="D63" s="144">
        <v>0.5</v>
      </c>
      <c r="E63" s="317" t="s">
        <v>23</v>
      </c>
    </row>
    <row r="64" spans="2:5" ht="16">
      <c r="B64" s="318" t="s">
        <v>97</v>
      </c>
      <c r="C64" s="319">
        <v>0</v>
      </c>
      <c r="D64" s="144">
        <v>0.5</v>
      </c>
      <c r="E64" s="317" t="s">
        <v>23</v>
      </c>
    </row>
    <row r="65" spans="2:5" ht="16">
      <c r="B65" s="318" t="s">
        <v>97</v>
      </c>
      <c r="C65" s="319">
        <v>0</v>
      </c>
      <c r="D65" s="144">
        <v>0.5</v>
      </c>
      <c r="E65" s="317" t="s">
        <v>23</v>
      </c>
    </row>
    <row r="66" spans="2:5" ht="16">
      <c r="B66" s="318" t="s">
        <v>97</v>
      </c>
      <c r="C66" s="319">
        <v>0</v>
      </c>
      <c r="D66" s="144">
        <v>0.5</v>
      </c>
      <c r="E66" s="317" t="s">
        <v>23</v>
      </c>
    </row>
    <row r="67" spans="2:5" ht="16">
      <c r="B67" s="318" t="s">
        <v>97</v>
      </c>
      <c r="C67" s="319">
        <v>0</v>
      </c>
      <c r="D67" s="144">
        <v>0.5</v>
      </c>
      <c r="E67" s="317" t="s">
        <v>23</v>
      </c>
    </row>
    <row r="68" spans="2:5" ht="16">
      <c r="B68" s="318" t="s">
        <v>97</v>
      </c>
      <c r="C68" s="319">
        <v>0</v>
      </c>
      <c r="D68" s="144">
        <v>0.5</v>
      </c>
      <c r="E68" s="317" t="s">
        <v>23</v>
      </c>
    </row>
    <row r="69" spans="2:5" ht="16">
      <c r="B69" s="318" t="s">
        <v>97</v>
      </c>
      <c r="C69" s="319">
        <v>0</v>
      </c>
      <c r="D69" s="144">
        <v>0.5</v>
      </c>
      <c r="E69" s="317" t="s">
        <v>23</v>
      </c>
    </row>
    <row r="70" spans="2:5" ht="16">
      <c r="B70" s="318" t="s">
        <v>97</v>
      </c>
      <c r="C70" s="319">
        <v>0</v>
      </c>
      <c r="D70" s="144">
        <v>0.5</v>
      </c>
      <c r="E70" s="317" t="s">
        <v>23</v>
      </c>
    </row>
    <row r="71" spans="2:5" ht="16">
      <c r="B71" s="318" t="s">
        <v>97</v>
      </c>
      <c r="C71" s="319">
        <v>0</v>
      </c>
      <c r="D71" s="144">
        <v>0.5</v>
      </c>
      <c r="E71" s="317" t="s">
        <v>23</v>
      </c>
    </row>
    <row r="72" spans="2:5" ht="16">
      <c r="B72" s="318" t="s">
        <v>97</v>
      </c>
      <c r="C72" s="319">
        <v>0</v>
      </c>
      <c r="D72" s="144">
        <v>0.5</v>
      </c>
      <c r="E72" s="317" t="s">
        <v>23</v>
      </c>
    </row>
    <row r="73" spans="2:5" ht="16">
      <c r="B73" s="318" t="s">
        <v>97</v>
      </c>
      <c r="C73" s="319">
        <v>0</v>
      </c>
      <c r="D73" s="144">
        <v>0.5</v>
      </c>
      <c r="E73" s="317" t="s">
        <v>23</v>
      </c>
    </row>
    <row r="74" spans="2:5" ht="16">
      <c r="B74" s="318" t="s">
        <v>97</v>
      </c>
      <c r="C74" s="319">
        <v>0</v>
      </c>
      <c r="D74" s="144">
        <v>0.5</v>
      </c>
      <c r="E74" s="317" t="s">
        <v>23</v>
      </c>
    </row>
    <row r="75" spans="2:5" ht="17" thickBot="1">
      <c r="B75" s="147" t="s">
        <v>97</v>
      </c>
      <c r="C75" s="148">
        <v>0</v>
      </c>
      <c r="D75" s="149">
        <v>0.5</v>
      </c>
      <c r="E75" s="317" t="s">
        <v>23</v>
      </c>
    </row>
    <row r="76" spans="2:5" ht="30" customHeight="1" thickTop="1">
      <c r="B76" s="107" t="s">
        <v>173</v>
      </c>
      <c r="C76" s="108">
        <f>SUM(C56:C75)</f>
        <v>3000000</v>
      </c>
      <c r="D76" s="79">
        <f>SUMPRODUCT(C56:C75,D56:D75)/C76</f>
        <v>0.5</v>
      </c>
      <c r="E76" s="77"/>
    </row>
    <row r="77" spans="2:5" ht="15.75" customHeight="1"/>
    <row r="78" spans="2:5" ht="30" customHeight="1">
      <c r="B78" s="76" t="s">
        <v>98</v>
      </c>
    </row>
    <row r="79" spans="2:5" ht="15.75" customHeight="1" thickBot="1">
      <c r="B79" s="76"/>
    </row>
    <row r="80" spans="2:5" ht="35" thickBot="1">
      <c r="B80" s="69" t="str">
        <f>Inputs!E19</f>
        <v>Development Costs &amp; Fee</v>
      </c>
      <c r="C80" s="110" t="s">
        <v>0</v>
      </c>
      <c r="D80" s="111" t="s">
        <v>96</v>
      </c>
      <c r="E80" s="101" t="s">
        <v>165</v>
      </c>
    </row>
    <row r="81" spans="2:5" ht="16">
      <c r="B81" s="143" t="s">
        <v>179</v>
      </c>
      <c r="C81" s="146">
        <v>250000</v>
      </c>
      <c r="D81" s="144">
        <v>1</v>
      </c>
      <c r="E81" s="317" t="s">
        <v>20</v>
      </c>
    </row>
    <row r="82" spans="2:5" ht="16">
      <c r="B82" s="145" t="s">
        <v>182</v>
      </c>
      <c r="C82" s="146">
        <v>50000</v>
      </c>
      <c r="D82" s="144">
        <v>1</v>
      </c>
      <c r="E82" s="317" t="s">
        <v>20</v>
      </c>
    </row>
    <row r="83" spans="2:5" ht="16">
      <c r="B83" s="145" t="s">
        <v>180</v>
      </c>
      <c r="C83" s="146">
        <v>350000</v>
      </c>
      <c r="D83" s="144">
        <v>1</v>
      </c>
      <c r="E83" s="317" t="s">
        <v>20</v>
      </c>
    </row>
    <row r="84" spans="2:5" ht="16">
      <c r="B84" s="145" t="s">
        <v>181</v>
      </c>
      <c r="C84" s="146">
        <v>200000</v>
      </c>
      <c r="D84" s="144">
        <v>1</v>
      </c>
      <c r="E84" s="317" t="s">
        <v>20</v>
      </c>
    </row>
    <row r="85" spans="2:5" ht="16">
      <c r="B85" s="145" t="s">
        <v>184</v>
      </c>
      <c r="C85" s="146">
        <v>50000</v>
      </c>
      <c r="D85" s="144">
        <v>1</v>
      </c>
      <c r="E85" s="317" t="s">
        <v>20</v>
      </c>
    </row>
    <row r="86" spans="2:5" ht="16">
      <c r="B86" s="145" t="s">
        <v>183</v>
      </c>
      <c r="C86" s="146">
        <v>100000</v>
      </c>
      <c r="D86" s="144">
        <v>1</v>
      </c>
      <c r="E86" s="317" t="s">
        <v>20</v>
      </c>
    </row>
    <row r="87" spans="2:5" ht="16">
      <c r="B87" s="145" t="s">
        <v>97</v>
      </c>
      <c r="C87" s="146">
        <v>0</v>
      </c>
      <c r="D87" s="144">
        <v>1</v>
      </c>
      <c r="E87" s="317" t="s">
        <v>20</v>
      </c>
    </row>
    <row r="88" spans="2:5" ht="16">
      <c r="B88" s="145" t="s">
        <v>97</v>
      </c>
      <c r="C88" s="146">
        <v>0</v>
      </c>
      <c r="D88" s="144">
        <v>1</v>
      </c>
      <c r="E88" s="317" t="s">
        <v>20</v>
      </c>
    </row>
    <row r="89" spans="2:5" ht="16">
      <c r="B89" s="145" t="s">
        <v>97</v>
      </c>
      <c r="C89" s="146">
        <v>0</v>
      </c>
      <c r="D89" s="144">
        <v>1</v>
      </c>
      <c r="E89" s="317" t="s">
        <v>20</v>
      </c>
    </row>
    <row r="90" spans="2:5" ht="16">
      <c r="B90" s="145" t="s">
        <v>97</v>
      </c>
      <c r="C90" s="146">
        <v>0</v>
      </c>
      <c r="D90" s="144">
        <v>1</v>
      </c>
      <c r="E90" s="317" t="s">
        <v>20</v>
      </c>
    </row>
    <row r="91" spans="2:5" ht="16">
      <c r="B91" s="145" t="s">
        <v>97</v>
      </c>
      <c r="C91" s="146">
        <v>0</v>
      </c>
      <c r="D91" s="144">
        <v>1</v>
      </c>
      <c r="E91" s="317" t="s">
        <v>20</v>
      </c>
    </row>
    <row r="92" spans="2:5" ht="16">
      <c r="B92" s="145" t="s">
        <v>97</v>
      </c>
      <c r="C92" s="146">
        <v>0</v>
      </c>
      <c r="D92" s="144">
        <v>1</v>
      </c>
      <c r="E92" s="317" t="s">
        <v>20</v>
      </c>
    </row>
    <row r="93" spans="2:5" ht="16">
      <c r="B93" s="145" t="s">
        <v>97</v>
      </c>
      <c r="C93" s="146">
        <v>0</v>
      </c>
      <c r="D93" s="144">
        <v>1</v>
      </c>
      <c r="E93" s="317" t="s">
        <v>20</v>
      </c>
    </row>
    <row r="94" spans="2:5" ht="16">
      <c r="B94" s="145" t="s">
        <v>97</v>
      </c>
      <c r="C94" s="146">
        <v>0</v>
      </c>
      <c r="D94" s="144">
        <v>1</v>
      </c>
      <c r="E94" s="317" t="s">
        <v>20</v>
      </c>
    </row>
    <row r="95" spans="2:5" ht="16">
      <c r="B95" s="145" t="s">
        <v>97</v>
      </c>
      <c r="C95" s="146">
        <v>0</v>
      </c>
      <c r="D95" s="144">
        <v>1</v>
      </c>
      <c r="E95" s="317" t="s">
        <v>20</v>
      </c>
    </row>
    <row r="96" spans="2:5" ht="16">
      <c r="B96" s="145" t="s">
        <v>97</v>
      </c>
      <c r="C96" s="146">
        <v>0</v>
      </c>
      <c r="D96" s="144">
        <v>1</v>
      </c>
      <c r="E96" s="317" t="s">
        <v>20</v>
      </c>
    </row>
    <row r="97" spans="2:5" ht="16">
      <c r="B97" s="145" t="s">
        <v>97</v>
      </c>
      <c r="C97" s="146">
        <v>0</v>
      </c>
      <c r="D97" s="144">
        <v>1</v>
      </c>
      <c r="E97" s="317" t="s">
        <v>20</v>
      </c>
    </row>
    <row r="98" spans="2:5" ht="16">
      <c r="B98" s="145" t="s">
        <v>97</v>
      </c>
      <c r="C98" s="146">
        <v>0</v>
      </c>
      <c r="D98" s="144">
        <v>1</v>
      </c>
      <c r="E98" s="317" t="s">
        <v>20</v>
      </c>
    </row>
    <row r="99" spans="2:5" ht="16">
      <c r="B99" s="145" t="s">
        <v>97</v>
      </c>
      <c r="C99" s="146">
        <v>0</v>
      </c>
      <c r="D99" s="144">
        <v>1</v>
      </c>
      <c r="E99" s="317" t="s">
        <v>20</v>
      </c>
    </row>
    <row r="100" spans="2:5" ht="17" thickBot="1">
      <c r="B100" s="147" t="s">
        <v>97</v>
      </c>
      <c r="C100" s="148">
        <v>0</v>
      </c>
      <c r="D100" s="149">
        <v>1</v>
      </c>
      <c r="E100" s="317" t="s">
        <v>20</v>
      </c>
    </row>
    <row r="101" spans="2:5" ht="30" customHeight="1" thickTop="1">
      <c r="B101" s="107" t="s">
        <v>177</v>
      </c>
      <c r="C101" s="108">
        <f>SUM(C81:C100)</f>
        <v>1000000</v>
      </c>
      <c r="D101" s="79">
        <f>SUMPRODUCT(C81:C100,D81:D100)/C101</f>
        <v>1</v>
      </c>
      <c r="E101" s="77"/>
    </row>
    <row r="102" spans="2:5" ht="15.75" customHeight="1">
      <c r="B102" s="115"/>
      <c r="C102" s="116"/>
      <c r="D102" s="102"/>
      <c r="E102" s="129"/>
    </row>
    <row r="103" spans="2:5" ht="30" customHeight="1">
      <c r="B103" s="76" t="s">
        <v>98</v>
      </c>
      <c r="C103" s="116"/>
      <c r="D103" s="102"/>
      <c r="E103" s="129"/>
    </row>
    <row r="104" spans="2:5" ht="15.75" customHeight="1" thickBot="1">
      <c r="B104" s="115"/>
      <c r="C104" s="116"/>
      <c r="D104" s="102"/>
      <c r="E104" s="129"/>
    </row>
    <row r="105" spans="2:5" ht="30" customHeight="1" thickBot="1">
      <c r="B105" s="69" t="str">
        <f>Inputs!E20</f>
        <v>Reserves &amp; Financing Costs</v>
      </c>
      <c r="C105" s="110" t="s">
        <v>0</v>
      </c>
      <c r="D105" s="111" t="s">
        <v>96</v>
      </c>
      <c r="E105" s="101" t="s">
        <v>165</v>
      </c>
    </row>
    <row r="106" spans="2:5" ht="15.75" customHeight="1">
      <c r="B106" s="107" t="s">
        <v>175</v>
      </c>
      <c r="C106" s="108">
        <f>((C26+C51+C76+C101)*Inputs!$G$47*Inputs!$G$50)</f>
        <v>346950</v>
      </c>
      <c r="D106" s="144">
        <v>0</v>
      </c>
      <c r="E106" s="317" t="s">
        <v>24</v>
      </c>
    </row>
    <row r="107" spans="2:5" ht="15.75" customHeight="1">
      <c r="B107" s="73" t="s">
        <v>37</v>
      </c>
      <c r="C107" s="131">
        <f>(C26+C51+C76+C101)*(Inputs!$G$43/12)*(Inputs!$G$42/2)</f>
        <v>318037.5</v>
      </c>
      <c r="D107" s="144">
        <v>0</v>
      </c>
      <c r="E107" s="317" t="s">
        <v>23</v>
      </c>
    </row>
    <row r="108" spans="2:5" ht="15.75" customHeight="1">
      <c r="B108" s="9" t="s">
        <v>49</v>
      </c>
      <c r="C108" s="131">
        <f>Inputs!$G$60</f>
        <v>0</v>
      </c>
      <c r="D108" s="144">
        <v>0</v>
      </c>
      <c r="E108" s="317" t="s">
        <v>23</v>
      </c>
    </row>
    <row r="109" spans="2:5" ht="15.75" customHeight="1" thickBot="1">
      <c r="B109" s="132" t="s">
        <v>176</v>
      </c>
      <c r="C109" s="133">
        <f>Inputs!$Q$66+Inputs!$Q$69</f>
        <v>1262906.6212895242</v>
      </c>
      <c r="D109" s="149">
        <v>0</v>
      </c>
      <c r="E109" s="317" t="s">
        <v>24</v>
      </c>
    </row>
    <row r="110" spans="2:5" ht="30.75" customHeight="1" thickTop="1">
      <c r="B110" s="123" t="s">
        <v>139</v>
      </c>
      <c r="C110" s="108">
        <f>SUM(C106:C109)</f>
        <v>1927894.1212895242</v>
      </c>
      <c r="D110" s="79">
        <f>SUMPRODUCT(C106:C109,D106:D109)/C110</f>
        <v>0</v>
      </c>
      <c r="E110" s="100"/>
    </row>
    <row r="111" spans="2:5" ht="15.75" customHeight="1">
      <c r="B111" s="112"/>
      <c r="C111" s="130"/>
      <c r="D111" s="113"/>
      <c r="E111" s="114"/>
    </row>
    <row r="112" spans="2:5" ht="30" customHeight="1">
      <c r="B112" s="76" t="s">
        <v>98</v>
      </c>
      <c r="C112" s="130"/>
      <c r="D112" s="113"/>
      <c r="E112" s="114"/>
    </row>
    <row r="113" spans="2:14" ht="15.75" customHeight="1" thickBot="1">
      <c r="B113" s="112"/>
      <c r="C113" s="130"/>
      <c r="D113" s="113"/>
      <c r="E113" s="114"/>
    </row>
    <row r="114" spans="2:14" ht="17" thickBot="1">
      <c r="B114" s="69" t="s">
        <v>171</v>
      </c>
      <c r="C114" s="70"/>
      <c r="D114" s="70"/>
      <c r="E114" s="103" t="s">
        <v>95</v>
      </c>
      <c r="F114" s="104"/>
      <c r="G114" s="104"/>
      <c r="H114" s="104"/>
      <c r="I114" s="104"/>
      <c r="J114" s="104"/>
      <c r="K114" s="104"/>
      <c r="L114" s="104"/>
      <c r="M114" s="104"/>
      <c r="N114" s="105"/>
    </row>
    <row r="115" spans="2:14" ht="35" thickBot="1">
      <c r="B115" s="120" t="s">
        <v>27</v>
      </c>
      <c r="C115" s="110" t="s">
        <v>0</v>
      </c>
      <c r="D115" s="111" t="s">
        <v>174</v>
      </c>
      <c r="E115" s="111" t="s">
        <v>27</v>
      </c>
      <c r="F115" s="111" t="s">
        <v>20</v>
      </c>
      <c r="G115" s="111" t="s">
        <v>132</v>
      </c>
      <c r="H115" s="111" t="s">
        <v>21</v>
      </c>
      <c r="I115" s="111" t="s">
        <v>133</v>
      </c>
      <c r="J115" s="111" t="s">
        <v>134</v>
      </c>
      <c r="K115" s="111" t="s">
        <v>22</v>
      </c>
      <c r="L115" s="111" t="s">
        <v>23</v>
      </c>
      <c r="M115" s="111" t="s">
        <v>135</v>
      </c>
      <c r="N115" s="142" t="s">
        <v>24</v>
      </c>
    </row>
    <row r="116" spans="2:14" ht="15.75" customHeight="1">
      <c r="B116" s="123" t="s">
        <v>164</v>
      </c>
      <c r="C116" s="126">
        <f>C26</f>
        <v>10130000</v>
      </c>
      <c r="D116" s="140">
        <f>C26*D26</f>
        <v>10130000</v>
      </c>
      <c r="E116" s="141" t="s">
        <v>164</v>
      </c>
      <c r="F116" s="126">
        <f>SUMIF($E$5:$E$26,F$115,$C$5:$C$26)</f>
        <v>10130000</v>
      </c>
      <c r="G116" s="126">
        <f t="shared" ref="G116:N116" si="0">SUMIF($E$5:$E$26,G$115,$C$5:$C$26)</f>
        <v>0</v>
      </c>
      <c r="H116" s="126">
        <f t="shared" si="0"/>
        <v>0</v>
      </c>
      <c r="I116" s="126">
        <f t="shared" si="0"/>
        <v>0</v>
      </c>
      <c r="J116" s="126">
        <f t="shared" si="0"/>
        <v>0</v>
      </c>
      <c r="K116" s="126">
        <f t="shared" si="0"/>
        <v>0</v>
      </c>
      <c r="L116" s="126">
        <f t="shared" si="0"/>
        <v>0</v>
      </c>
      <c r="M116" s="126">
        <f t="shared" si="0"/>
        <v>0</v>
      </c>
      <c r="N116" s="126">
        <f t="shared" si="0"/>
        <v>0</v>
      </c>
    </row>
    <row r="117" spans="2:14" ht="15.75" customHeight="1">
      <c r="B117" s="74" t="s">
        <v>166</v>
      </c>
      <c r="C117" s="121">
        <f>C51</f>
        <v>9000000</v>
      </c>
      <c r="D117" s="128">
        <f>C51*D51</f>
        <v>7250000</v>
      </c>
      <c r="E117" s="138" t="s">
        <v>166</v>
      </c>
      <c r="F117" s="121">
        <f>SUMIF($E$30:$E$51,F$115,$C$30:$C$51)</f>
        <v>7250000</v>
      </c>
      <c r="G117" s="121">
        <f t="shared" ref="G117:N117" si="1">SUMIF($E$30:$E$51,G$115,$C$30:$C$51)</f>
        <v>0</v>
      </c>
      <c r="H117" s="121">
        <f t="shared" si="1"/>
        <v>1500000</v>
      </c>
      <c r="I117" s="121">
        <f t="shared" si="1"/>
        <v>0</v>
      </c>
      <c r="J117" s="121">
        <f t="shared" si="1"/>
        <v>0</v>
      </c>
      <c r="K117" s="121">
        <f t="shared" si="1"/>
        <v>250000</v>
      </c>
      <c r="L117" s="121">
        <f t="shared" si="1"/>
        <v>0</v>
      </c>
      <c r="M117" s="121">
        <f t="shared" si="1"/>
        <v>0</v>
      </c>
      <c r="N117" s="121">
        <f t="shared" si="1"/>
        <v>0</v>
      </c>
    </row>
    <row r="118" spans="2:14" ht="15.75" customHeight="1">
      <c r="B118" s="74" t="s">
        <v>167</v>
      </c>
      <c r="C118" s="121">
        <f>C76</f>
        <v>3000000</v>
      </c>
      <c r="D118" s="128">
        <f>C76*D76</f>
        <v>1500000</v>
      </c>
      <c r="E118" s="138" t="s">
        <v>167</v>
      </c>
      <c r="F118" s="121">
        <f>SUMIF($E$55:$E$76,F$115,$C$55:$C$76)</f>
        <v>0</v>
      </c>
      <c r="G118" s="121">
        <f t="shared" ref="G118:N118" si="2">SUMIF($E$55:$E$76,G$115,$C$55:$C$76)</f>
        <v>0</v>
      </c>
      <c r="H118" s="121">
        <f t="shared" si="2"/>
        <v>0</v>
      </c>
      <c r="I118" s="121">
        <f t="shared" si="2"/>
        <v>0</v>
      </c>
      <c r="J118" s="121">
        <f t="shared" si="2"/>
        <v>0</v>
      </c>
      <c r="K118" s="121">
        <f t="shared" si="2"/>
        <v>0</v>
      </c>
      <c r="L118" s="121">
        <f t="shared" si="2"/>
        <v>3000000</v>
      </c>
      <c r="M118" s="121">
        <f t="shared" si="2"/>
        <v>0</v>
      </c>
      <c r="N118" s="121">
        <f t="shared" si="2"/>
        <v>0</v>
      </c>
    </row>
    <row r="119" spans="2:14" ht="15.75" customHeight="1">
      <c r="B119" s="74" t="s">
        <v>168</v>
      </c>
      <c r="C119" s="121">
        <f>C101</f>
        <v>1000000</v>
      </c>
      <c r="D119" s="128">
        <f>C101*D101</f>
        <v>1000000</v>
      </c>
      <c r="E119" s="138" t="s">
        <v>168</v>
      </c>
      <c r="F119" s="121">
        <f>SUMIF($E$80:$E$101,F$115,$C$80:$C$101)</f>
        <v>1000000</v>
      </c>
      <c r="G119" s="121">
        <f t="shared" ref="G119:N119" si="3">SUMIF($E$80:$E$101,G$115,$C$80:$C$101)</f>
        <v>0</v>
      </c>
      <c r="H119" s="121">
        <f t="shared" si="3"/>
        <v>0</v>
      </c>
      <c r="I119" s="121">
        <f t="shared" si="3"/>
        <v>0</v>
      </c>
      <c r="J119" s="121">
        <f t="shared" si="3"/>
        <v>0</v>
      </c>
      <c r="K119" s="121">
        <f t="shared" si="3"/>
        <v>0</v>
      </c>
      <c r="L119" s="121">
        <f t="shared" si="3"/>
        <v>0</v>
      </c>
      <c r="M119" s="121">
        <f t="shared" si="3"/>
        <v>0</v>
      </c>
      <c r="N119" s="121">
        <f t="shared" si="3"/>
        <v>0</v>
      </c>
    </row>
    <row r="120" spans="2:14" ht="15.75" customHeight="1" thickBot="1">
      <c r="B120" s="124" t="s">
        <v>100</v>
      </c>
      <c r="C120" s="125">
        <f>C110</f>
        <v>1927894.1212895242</v>
      </c>
      <c r="D120" s="134">
        <f>C110*D110</f>
        <v>0</v>
      </c>
      <c r="E120" s="139" t="s">
        <v>100</v>
      </c>
      <c r="F120" s="137">
        <f>SUMIF($E$105:$E$110,F$115,$C$105:$C$110)</f>
        <v>0</v>
      </c>
      <c r="G120" s="137">
        <f t="shared" ref="G120:N120" si="4">SUMIF($E$105:$E$110,G$115,$C$105:$C$110)</f>
        <v>0</v>
      </c>
      <c r="H120" s="137">
        <f t="shared" si="4"/>
        <v>0</v>
      </c>
      <c r="I120" s="137">
        <f t="shared" si="4"/>
        <v>0</v>
      </c>
      <c r="J120" s="137">
        <f t="shared" si="4"/>
        <v>0</v>
      </c>
      <c r="K120" s="137">
        <f t="shared" si="4"/>
        <v>0</v>
      </c>
      <c r="L120" s="137">
        <f t="shared" si="4"/>
        <v>318037.5</v>
      </c>
      <c r="M120" s="137">
        <f t="shared" si="4"/>
        <v>0</v>
      </c>
      <c r="N120" s="137">
        <f t="shared" si="4"/>
        <v>1609856.6212895242</v>
      </c>
    </row>
    <row r="121" spans="2:14" ht="30" customHeight="1" thickTop="1">
      <c r="B121" s="122" t="s">
        <v>139</v>
      </c>
      <c r="C121" s="127">
        <f>SUM(C116:C120)</f>
        <v>25057894.121289525</v>
      </c>
      <c r="D121" s="127">
        <f>SUM(D116:D120)</f>
        <v>19880000</v>
      </c>
      <c r="E121" s="74"/>
      <c r="F121" s="127">
        <f>SUM(F116:F120)</f>
        <v>18380000</v>
      </c>
      <c r="G121" s="127">
        <f t="shared" ref="G121:N121" si="5">SUM(G116:G120)</f>
        <v>0</v>
      </c>
      <c r="H121" s="127">
        <f t="shared" si="5"/>
        <v>1500000</v>
      </c>
      <c r="I121" s="127">
        <f t="shared" si="5"/>
        <v>0</v>
      </c>
      <c r="J121" s="127">
        <f t="shared" si="5"/>
        <v>0</v>
      </c>
      <c r="K121" s="127">
        <f t="shared" si="5"/>
        <v>250000</v>
      </c>
      <c r="L121" s="127">
        <f t="shared" si="5"/>
        <v>3318037.5</v>
      </c>
      <c r="M121" s="127">
        <f t="shared" si="5"/>
        <v>0</v>
      </c>
      <c r="N121" s="127">
        <f t="shared" si="5"/>
        <v>1609856.6212895242</v>
      </c>
    </row>
    <row r="122" spans="2:14">
      <c r="B122" s="15"/>
      <c r="C122" s="15"/>
      <c r="D122" s="15"/>
      <c r="E122" s="15"/>
    </row>
    <row r="123" spans="2:14" ht="16">
      <c r="B123" s="255" t="s">
        <v>206</v>
      </c>
      <c r="C123" s="256" t="str">
        <f>Inputs!G69</f>
        <v>Yes</v>
      </c>
    </row>
    <row r="124" spans="2:14" ht="16" thickBot="1">
      <c r="B124" s="328"/>
      <c r="C124" s="328"/>
      <c r="D124" s="328"/>
      <c r="E124" s="328"/>
      <c r="F124" s="328"/>
      <c r="G124" s="328"/>
      <c r="H124" s="328"/>
      <c r="I124" s="328"/>
      <c r="J124" s="328"/>
      <c r="K124" s="328"/>
      <c r="L124" s="328"/>
      <c r="M124" s="328"/>
      <c r="N124" s="328"/>
    </row>
    <row r="125" spans="2:14" ht="16" thickBot="1">
      <c r="D125" s="316"/>
      <c r="E125" s="316"/>
    </row>
    <row r="126" spans="2:14" ht="30" customHeight="1" thickBot="1">
      <c r="B126" s="773" t="s">
        <v>229</v>
      </c>
      <c r="C126" s="774"/>
      <c r="D126" s="774"/>
      <c r="E126" s="775"/>
    </row>
    <row r="127" spans="2:14" ht="16" thickBot="1"/>
    <row r="128" spans="2:14" ht="69" thickBot="1">
      <c r="C128" s="325" t="s">
        <v>266</v>
      </c>
      <c r="D128" s="326" t="s">
        <v>269</v>
      </c>
    </row>
    <row r="129" spans="3:6" ht="16">
      <c r="C129" s="485">
        <f>'Cash Flow'!G2</f>
        <v>1</v>
      </c>
      <c r="D129" s="486">
        <v>5</v>
      </c>
      <c r="F129" s="381"/>
    </row>
    <row r="130" spans="3:6" ht="16">
      <c r="C130" s="487">
        <f>C129+1</f>
        <v>2</v>
      </c>
      <c r="D130" s="488">
        <v>5.0999999999999996</v>
      </c>
      <c r="F130" s="381"/>
    </row>
    <row r="131" spans="3:6" ht="16">
      <c r="C131" s="487">
        <f t="shared" ref="C131:C158" si="6">C130+1</f>
        <v>3</v>
      </c>
      <c r="D131" s="488">
        <v>5.202</v>
      </c>
      <c r="F131" s="381"/>
    </row>
    <row r="132" spans="3:6" ht="16">
      <c r="C132" s="487">
        <f t="shared" si="6"/>
        <v>4</v>
      </c>
      <c r="D132" s="488">
        <v>5.3060400000000003</v>
      </c>
      <c r="F132" s="381"/>
    </row>
    <row r="133" spans="3:6" ht="16">
      <c r="C133" s="487">
        <f t="shared" si="6"/>
        <v>5</v>
      </c>
      <c r="D133" s="488">
        <v>5.4121608000000005</v>
      </c>
      <c r="F133" s="381"/>
    </row>
    <row r="134" spans="3:6" ht="16">
      <c r="C134" s="487">
        <f t="shared" si="6"/>
        <v>6</v>
      </c>
      <c r="D134" s="488">
        <v>5.5204040160000005</v>
      </c>
      <c r="F134" s="381"/>
    </row>
    <row r="135" spans="3:6" ht="16">
      <c r="C135" s="487">
        <f t="shared" si="6"/>
        <v>7</v>
      </c>
      <c r="D135" s="488">
        <v>5.6308120963200006</v>
      </c>
      <c r="E135" s="26"/>
      <c r="F135" s="381"/>
    </row>
    <row r="136" spans="3:6" ht="16">
      <c r="C136" s="487">
        <f t="shared" si="6"/>
        <v>8</v>
      </c>
      <c r="D136" s="488">
        <v>5.7434283382464004</v>
      </c>
      <c r="E136" s="135"/>
      <c r="F136" s="381"/>
    </row>
    <row r="137" spans="3:6" ht="16">
      <c r="C137" s="487">
        <f t="shared" si="6"/>
        <v>9</v>
      </c>
      <c r="D137" s="488">
        <v>5.8582969050113283</v>
      </c>
      <c r="E137" s="136"/>
      <c r="F137" s="381"/>
    </row>
    <row r="138" spans="3:6" ht="16">
      <c r="C138" s="487">
        <f t="shared" si="6"/>
        <v>10</v>
      </c>
      <c r="D138" s="488">
        <v>5.9754628431115551</v>
      </c>
      <c r="E138" s="136"/>
      <c r="F138" s="381"/>
    </row>
    <row r="139" spans="3:6" ht="16">
      <c r="C139" s="487">
        <f t="shared" si="6"/>
        <v>11</v>
      </c>
      <c r="D139" s="488">
        <v>6.094972099973786</v>
      </c>
      <c r="E139" s="136"/>
      <c r="F139" s="381"/>
    </row>
    <row r="140" spans="3:6" ht="16">
      <c r="C140" s="487">
        <f t="shared" si="6"/>
        <v>12</v>
      </c>
      <c r="D140" s="488">
        <v>6.2168715419732621</v>
      </c>
      <c r="E140" s="136"/>
      <c r="F140" s="381"/>
    </row>
    <row r="141" spans="3:6" ht="16">
      <c r="C141" s="487">
        <f t="shared" si="6"/>
        <v>13</v>
      </c>
      <c r="D141" s="488">
        <v>6.3412089728127281</v>
      </c>
      <c r="E141" s="136"/>
      <c r="F141" s="381"/>
    </row>
    <row r="142" spans="3:6" ht="16">
      <c r="C142" s="487">
        <f t="shared" si="6"/>
        <v>14</v>
      </c>
      <c r="D142" s="488">
        <v>6.4680331522689825</v>
      </c>
      <c r="E142" s="136"/>
      <c r="F142" s="381"/>
    </row>
    <row r="143" spans="3:6" ht="16">
      <c r="C143" s="487">
        <f t="shared" si="6"/>
        <v>15</v>
      </c>
      <c r="D143" s="488">
        <v>6.5973938153143621</v>
      </c>
      <c r="E143" s="136"/>
      <c r="F143" s="381"/>
    </row>
    <row r="144" spans="3:6" ht="16">
      <c r="C144" s="487">
        <f t="shared" si="6"/>
        <v>16</v>
      </c>
      <c r="D144" s="488">
        <v>6.7293416916206494</v>
      </c>
      <c r="E144" s="136"/>
      <c r="F144" s="381"/>
    </row>
    <row r="145" spans="3:6" ht="16">
      <c r="C145" s="487">
        <f t="shared" si="6"/>
        <v>17</v>
      </c>
      <c r="D145" s="488">
        <v>6.8639285254530638</v>
      </c>
      <c r="E145" s="136"/>
      <c r="F145" s="381"/>
    </row>
    <row r="146" spans="3:6" ht="16">
      <c r="C146" s="487">
        <f t="shared" si="6"/>
        <v>18</v>
      </c>
      <c r="D146" s="488">
        <v>7.0012070959621253</v>
      </c>
      <c r="E146" s="26"/>
      <c r="F146" s="381"/>
    </row>
    <row r="147" spans="3:6" ht="16">
      <c r="C147" s="487">
        <f t="shared" si="6"/>
        <v>19</v>
      </c>
      <c r="D147" s="488">
        <v>7.1412312378813683</v>
      </c>
      <c r="E147" s="26"/>
      <c r="F147" s="381"/>
    </row>
    <row r="148" spans="3:6" ht="16">
      <c r="C148" s="487">
        <f t="shared" si="6"/>
        <v>20</v>
      </c>
      <c r="D148" s="488">
        <v>7.2840558626389953</v>
      </c>
      <c r="E148" s="26"/>
      <c r="F148" s="381"/>
    </row>
    <row r="149" spans="3:6" ht="16">
      <c r="C149" s="487">
        <f t="shared" si="6"/>
        <v>21</v>
      </c>
      <c r="D149" s="488">
        <v>7.4297369798917758</v>
      </c>
      <c r="F149" s="381"/>
    </row>
    <row r="150" spans="3:6" ht="16">
      <c r="C150" s="487">
        <f t="shared" si="6"/>
        <v>22</v>
      </c>
      <c r="D150" s="488">
        <v>7.5783317194896114</v>
      </c>
      <c r="F150" s="381"/>
    </row>
    <row r="151" spans="3:6" ht="16">
      <c r="C151" s="487">
        <f t="shared" si="6"/>
        <v>23</v>
      </c>
      <c r="D151" s="488">
        <v>7.7298983538794035</v>
      </c>
      <c r="F151" s="381"/>
    </row>
    <row r="152" spans="3:6" ht="16">
      <c r="C152" s="487">
        <f t="shared" si="6"/>
        <v>24</v>
      </c>
      <c r="D152" s="488">
        <v>7.8844963209569912</v>
      </c>
      <c r="F152" s="381"/>
    </row>
    <row r="153" spans="3:6" ht="16">
      <c r="C153" s="487">
        <f t="shared" si="6"/>
        <v>25</v>
      </c>
      <c r="D153" s="488">
        <v>8.0421862473761312</v>
      </c>
      <c r="F153" s="381"/>
    </row>
    <row r="154" spans="3:6" ht="16">
      <c r="C154" s="487">
        <f t="shared" si="6"/>
        <v>26</v>
      </c>
      <c r="D154" s="488">
        <v>8.2030299723236535</v>
      </c>
      <c r="F154" s="381"/>
    </row>
    <row r="155" spans="3:6" ht="16">
      <c r="C155" s="487">
        <f t="shared" si="6"/>
        <v>27</v>
      </c>
      <c r="D155" s="488">
        <v>8.3670905717701274</v>
      </c>
      <c r="F155" s="381"/>
    </row>
    <row r="156" spans="3:6" ht="16">
      <c r="C156" s="487">
        <f t="shared" si="6"/>
        <v>28</v>
      </c>
      <c r="D156" s="488">
        <v>8.5344323832055302</v>
      </c>
      <c r="F156" s="381"/>
    </row>
    <row r="157" spans="3:6" ht="16">
      <c r="C157" s="487">
        <f t="shared" si="6"/>
        <v>29</v>
      </c>
      <c r="D157" s="488">
        <v>8.7051210308696394</v>
      </c>
      <c r="F157" s="381"/>
    </row>
    <row r="158" spans="3:6" ht="16">
      <c r="C158" s="487">
        <f t="shared" si="6"/>
        <v>30</v>
      </c>
      <c r="D158" s="488">
        <v>8.8792234514870323</v>
      </c>
      <c r="F158" s="381"/>
    </row>
    <row r="159" spans="3:6" ht="30" customHeight="1">
      <c r="C159" s="776" t="s">
        <v>231</v>
      </c>
      <c r="D159" s="777"/>
    </row>
  </sheetData>
  <protectedRanges>
    <protectedRange sqref="D129:D158" name="Market Value"/>
    <protectedRange sqref="B6:E25 B31:E50 B56:E75 B81:E100 D106:E109" name="Complex Inputs"/>
  </protectedRanges>
  <mergeCells count="2">
    <mergeCell ref="B126:E126"/>
    <mergeCell ref="C159:D159"/>
  </mergeCells>
  <conditionalFormatting sqref="D106:E110 D6:E26 D56:E76 D116:N121 D81:E101 D31:E51">
    <cfRule type="expression" dxfId="2" priority="1">
      <formula>$C$123="No"</formula>
    </cfRule>
  </conditionalFormatting>
  <conditionalFormatting sqref="B108">
    <cfRule type="expression" dxfId="1" priority="5">
      <formula>#REF!="100% Equity"</formula>
    </cfRule>
  </conditionalFormatting>
  <conditionalFormatting sqref="B108">
    <cfRule type="expression" dxfId="0" priority="6">
      <formula>#REF!="(use dropdown)"</formula>
    </cfRule>
  </conditionalFormatting>
  <dataValidations count="1">
    <dataValidation type="list" allowBlank="1" showInputMessage="1" showErrorMessage="1" sqref="E6:E25 E31:E50 E106:E109 E56:E75 E81:E100" xr:uid="{00000000-0002-0000-0500-000000000000}">
      <formula1>$F$115:$N$115</formula1>
    </dataValidation>
  </dataValidations>
  <hyperlinks>
    <hyperlink ref="B53" location="Inputs!A1" display="Click Here to Return to Inputs Worksheet" xr:uid="{00000000-0004-0000-0500-000000000000}"/>
    <hyperlink ref="B78" location="Inputs!A1" display="Click Here to Return to Inputs Worksheet" xr:uid="{00000000-0004-0000-0500-000001000000}"/>
    <hyperlink ref="B28" location="Inputs!A1" display="Click Here to Return to Inputs Worksheet" xr:uid="{00000000-0004-0000-0500-000002000000}"/>
    <hyperlink ref="B103" location="Inputs!A1" display="Click Here to Return to Inputs Worksheet" xr:uid="{00000000-0004-0000-0500-000003000000}"/>
    <hyperlink ref="B112" location="Inputs!A1" display="Click Here to Return to Inputs Worksheet" xr:uid="{00000000-0004-0000-0500-000004000000}"/>
  </hyperlink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Inputs</vt:lpstr>
      <vt:lpstr>Summary Results</vt:lpstr>
      <vt:lpstr>Annual Cash Flows &amp; Returns</vt:lpstr>
      <vt:lpstr>Cash Flow</vt:lpstr>
      <vt:lpstr>Complex Inputs</vt:lpstr>
      <vt:lpstr>Inputs!_ftnref1</vt:lpstr>
      <vt:lpstr>Introduction!Print_Area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CREST Model for Wind Energy</dc:title>
  <dc:subject>A model to assess project economics, design cost-based incentives, and evaluate the impact of state and federal support structures on renewable energy</dc:subject>
  <dc:creator/>
  <cp:keywords/>
  <dc:description/>
  <cp:lastModifiedBy>Harrison Dreves</cp:lastModifiedBy>
  <cp:lastPrinted>2010-07-30T20:36:23Z</cp:lastPrinted>
  <dcterms:created xsi:type="dcterms:W3CDTF">2010-03-29T19:24:38Z</dcterms:created>
  <dcterms:modified xsi:type="dcterms:W3CDTF">2019-01-21T19:30:58Z</dcterms:modified>
  <cp:category/>
</cp:coreProperties>
</file>