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filterPrivacy="1" showInkAnnotation="0" codeName="ThisWorkbook" defaultThemeVersion="124226"/>
  <xr:revisionPtr revIDLastSave="0" documentId="13_ncr:1_{0B9E1980-BD7B-4091-938C-FD09878FF67D}" xr6:coauthVersionLast="47" xr6:coauthVersionMax="47" xr10:uidLastSave="{00000000-0000-0000-0000-000000000000}"/>
  <bookViews>
    <workbookView xWindow="8160" yWindow="1050" windowWidth="10725" windowHeight="12195" tabRatio="734" xr2:uid="{00000000-000D-0000-FFFF-FFFF00000000}"/>
  </bookViews>
  <sheets>
    <sheet name="Inputs" sheetId="1" r:id="rId1"/>
    <sheet name="Cash Flow" sheetId="7" r:id="rId2"/>
    <sheet name="Depreciation Schedules" sheetId="4" r:id="rId3"/>
  </sheets>
  <definedNames>
    <definedName name="analysis_period">Inputs!$C$40</definedName>
    <definedName name="annual_fuel_usage">Inputs!$C$22</definedName>
    <definedName name="AnnualLandLease">Inputs!$D$198</definedName>
    <definedName name="AnnualOMCapacity">Inputs!$D$153</definedName>
    <definedName name="AnnualOMFixed">Inputs!$D$152</definedName>
    <definedName name="AnnualOMProduction">Inputs!$D$154</definedName>
    <definedName name="AnnualPBIFederal">Inputs!$D$166</definedName>
    <definedName name="AnnualPBIOther">Inputs!$D$169</definedName>
    <definedName name="AnnualPBIState">Inputs!$D$167</definedName>
    <definedName name="AnnualPBIUtility">Inputs!$D$168</definedName>
    <definedName name="AnnualPTCFederal">Inputs!$D$171</definedName>
    <definedName name="AnnualPTCState">Inputs!$D$172</definedName>
    <definedName name="AnnualTaxFederal">Inputs!$C$157</definedName>
    <definedName name="AnnualTaxState">Inputs!$C$156</definedName>
    <definedName name="batt_annual_discharge_energy">Inputs!$C$143</definedName>
    <definedName name="cbi_fed_amount">Inputs!$C$115</definedName>
    <definedName name="cbi_fed_deprbas_fed">Inputs!$G$115</definedName>
    <definedName name="cbi_fed_deprbas_sta">Inputs!$H$115</definedName>
    <definedName name="cbi_fed_maxvalue">Inputs!$D$115</definedName>
    <definedName name="cbi_fed_tax_fed">Inputs!$E$115</definedName>
    <definedName name="cbi_fed_tax_sta">Inputs!$F$115</definedName>
    <definedName name="cbi_oth_amount">Inputs!$C$118</definedName>
    <definedName name="cbi_oth_deprbas_fed">Inputs!$G$118</definedName>
    <definedName name="cbi_oth_deprbas_sta">Inputs!$H$118</definedName>
    <definedName name="cbi_oth_maxvalue">Inputs!$D$118</definedName>
    <definedName name="cbi_oth_tax_fed">Inputs!$E$118</definedName>
    <definedName name="cbi_oth_tax_sta">Inputs!$F$118</definedName>
    <definedName name="cbi_sta_amount">Inputs!$C$116</definedName>
    <definedName name="cbi_sta_deprbas_fed">Inputs!$G$116</definedName>
    <definedName name="cbi_sta_deprbas_sta">Inputs!$H$116</definedName>
    <definedName name="cbi_sta_maxvalue">Inputs!$D$116</definedName>
    <definedName name="cbi_sta_tax_fed">Inputs!$E$116</definedName>
    <definedName name="cbi_sta_tax_sta">Inputs!$F$116</definedName>
    <definedName name="cbi_uti_amount">Inputs!$C$117</definedName>
    <definedName name="cbi_uti_deprbas_fed">Inputs!$G$117</definedName>
    <definedName name="cbi_uti_deprbas_sta">Inputs!$H$117</definedName>
    <definedName name="cbi_uti_maxvalue">Inputs!$D$117</definedName>
    <definedName name="cbi_uti_tax_fed">Inputs!$E$117</definedName>
    <definedName name="cbi_uti_tax_sta">Inputs!$F$117</definedName>
    <definedName name="cf_annual_cost_lcos">Inputs!$C$195</definedName>
    <definedName name="cf_annual_discharge_lcos">Inputs!$C$196</definedName>
    <definedName name="cf_battery_replacement_cost">Inputs!$C$179</definedName>
    <definedName name="cf_capacity_payment">Inputs!$C$148</definedName>
    <definedName name="cf_curtailment_value">Inputs!$C$149</definedName>
    <definedName name="cf_energy_net">Inputs!$C$141</definedName>
    <definedName name="cf_energy_purchases">Inputs!$C$140</definedName>
    <definedName name="cf_energy_sales">Inputs!$C$139</definedName>
    <definedName name="cf_energy_value">Inputs!$C$147</definedName>
    <definedName name="cf_energy_without_battery">Inputs!$C$142</definedName>
    <definedName name="cf_fuelcell_replacement_cost">Inputs!$C$184</definedName>
    <definedName name="cf_om_capacity1_expense">Inputs!$C$177</definedName>
    <definedName name="cf_om_capacity2_expense">Inputs!$C$182</definedName>
    <definedName name="cf_om_fixed1_expense">Inputs!$C$176</definedName>
    <definedName name="cf_om_fixed2_expense">Inputs!$C$181</definedName>
    <definedName name="cf_om_fuel_expense">Inputs!$C$187</definedName>
    <definedName name="cf_om_opt_fuel_1_expense">Inputs!$C$188</definedName>
    <definedName name="cf_om_opt_fuel_2_expense">Inputs!$C$189</definedName>
    <definedName name="cf_om_production1_expense">Inputs!$C$178</definedName>
    <definedName name="cf_om_production2_expense">Inputs!$C$183</definedName>
    <definedName name="cf_ppa_price">Inputs!$C$146</definedName>
    <definedName name="cf_recapitalization">Inputs!$C$191</definedName>
    <definedName name="cf_thermal_value">Inputs!$C$150</definedName>
    <definedName name="cf_utility_bill">Inputs!$C$174</definedName>
    <definedName name="const_per_interest_rate1">Inputs!$F$70</definedName>
    <definedName name="const_per_interest_rate2">Inputs!$F$71</definedName>
    <definedName name="const_per_interest_rate3">Inputs!$F$72</definedName>
    <definedName name="const_per_interest_rate4">Inputs!$F$73</definedName>
    <definedName name="const_per_interest_rate5">Inputs!$F$74</definedName>
    <definedName name="const_per_months1">Inputs!$E$70</definedName>
    <definedName name="const_per_months2">Inputs!$E$71</definedName>
    <definedName name="const_per_months3">Inputs!$E$72</definedName>
    <definedName name="const_per_months4">Inputs!$E$73</definedName>
    <definedName name="const_per_months5">Inputs!$E$74</definedName>
    <definedName name="const_per_percent1">Inputs!$C$70</definedName>
    <definedName name="const_per_percent2">Inputs!$C$71</definedName>
    <definedName name="const_per_percent3">Inputs!$C$72</definedName>
    <definedName name="const_per_percent4">Inputs!$C$73</definedName>
    <definedName name="const_per_percent5">Inputs!$C$74</definedName>
    <definedName name="const_per_upfront_rate1">Inputs!$D$70</definedName>
    <definedName name="const_per_upfront_rate2">Inputs!$D$71</definedName>
    <definedName name="const_per_upfront_rate3">Inputs!$D$72</definedName>
    <definedName name="const_per_upfront_rate4">Inputs!$D$73</definedName>
    <definedName name="const_per_upfront_rate5">Inputs!$D$74</definedName>
    <definedName name="construction_financing_cost">Inputs!$C$66</definedName>
    <definedName name="cost_dev_fee_percent">Inputs!$C$61</definedName>
    <definedName name="cost_equity_closing">Inputs!$C$59</definedName>
    <definedName name="cost_other_financing">Inputs!$C$60</definedName>
    <definedName name="depr_alloc_custom_percent">Inputs!$C$133</definedName>
    <definedName name="depr_alloc_macrs_15_percent">Inputs!$C$128</definedName>
    <definedName name="depr_alloc_macrs_5_percent">Inputs!$C$127</definedName>
    <definedName name="depr_alloc_sl_15_percent">Inputs!$C$130</definedName>
    <definedName name="depr_alloc_sl_20_percent">Inputs!$C$131</definedName>
    <definedName name="depr_alloc_sl_39_percent">Inputs!$C$132</definedName>
    <definedName name="depr_alloc_sl_5_percent">Inputs!$C$129</definedName>
    <definedName name="depr_bonus_fed">Inputs!$D$134</definedName>
    <definedName name="depr_bonus_fed_custom">Inputs!$D$133</definedName>
    <definedName name="depr_bonus_fed_macrs_15">Inputs!$D$128</definedName>
    <definedName name="depr_bonus_fed_macrs_5">Inputs!$D$127</definedName>
    <definedName name="depr_bonus_fed_sl_15">Inputs!$D$130</definedName>
    <definedName name="depr_bonus_fed_sl_20">Inputs!$D$131</definedName>
    <definedName name="depr_bonus_fed_sl_39">Inputs!$D$132</definedName>
    <definedName name="depr_bonus_fed_sl_5">Inputs!$D$129</definedName>
    <definedName name="depr_bonus_sta">Inputs!$E$134</definedName>
    <definedName name="depr_bonus_sta_custom">Inputs!$E$133</definedName>
    <definedName name="depr_bonus_sta_macrs_15">Inputs!$E$128</definedName>
    <definedName name="depr_bonus_sta_macrs_5">Inputs!$E$127</definedName>
    <definedName name="depr_bonus_sta_sl_15">Inputs!$E$130</definedName>
    <definedName name="depr_bonus_sta_sl_20">Inputs!$E$131</definedName>
    <definedName name="depr_bonus_sta_sl_39">Inputs!$E$132</definedName>
    <definedName name="depr_bonus_sta_sl_5">Inputs!$E$129</definedName>
    <definedName name="depr_custom_schedule">Inputs!$D$193</definedName>
    <definedName name="depr_itc_fed_custom">Inputs!$F$133</definedName>
    <definedName name="depr_itc_fed_macrs_15">Inputs!$F$128</definedName>
    <definedName name="depr_itc_fed_macrs_5">Inputs!$F$127</definedName>
    <definedName name="depr_itc_fed_sl_15">Inputs!$F$130</definedName>
    <definedName name="depr_itc_fed_sl_20">Inputs!$F$131</definedName>
    <definedName name="depr_itc_fed_sl_39">Inputs!$F$132</definedName>
    <definedName name="depr_itc_fed_sl_5">Inputs!$F$129</definedName>
    <definedName name="depr_itc_sta_custom">Inputs!$G$133</definedName>
    <definedName name="depr_itc_sta_macrs_15">Inputs!$G$128</definedName>
    <definedName name="depr_itc_sta_macrs_5">Inputs!$G$127</definedName>
    <definedName name="depr_itc_sta_sl_15">Inputs!$G$130</definedName>
    <definedName name="depr_itc_sta_sl_20">Inputs!$G$131</definedName>
    <definedName name="depr_itc_sta_sl_39">Inputs!$G$132</definedName>
    <definedName name="depr_itc_sta_sl_5">Inputs!$G$129</definedName>
    <definedName name="DeveloperMargin">Inputs!$C$36</definedName>
    <definedName name="equip_reserve_depr_fed">Inputs!$C$87</definedName>
    <definedName name="equip_reserve_depr_sta">Inputs!$C$88</definedName>
    <definedName name="equip1_reserve_cost">Inputs!$C$83</definedName>
    <definedName name="equip1_reserve_freq">Inputs!$E$83</definedName>
    <definedName name="equip2_reserve_cost">Inputs!$C$84</definedName>
    <definedName name="equip2_reserve_freq">Inputs!$E$84</definedName>
    <definedName name="equip3_reserve_cost">Inputs!$C$85</definedName>
    <definedName name="equip3_reserve_freq">Inputs!$E$85</definedName>
    <definedName name="federal_tax_rate">Inputs!$C$45</definedName>
    <definedName name="flip_target_year">Inputs!$C$30</definedName>
    <definedName name="fuelcell_annual_energy_discharged">Inputs!$C$144</definedName>
    <definedName name="FuelCellFuel">Inputs!$C$185</definedName>
    <definedName name="ibi_fed_amount">Inputs!$C$105</definedName>
    <definedName name="ibi_fed_amount_deprbas_fed">Inputs!$G$105</definedName>
    <definedName name="ibi_fed_amount_deprbas_sta">Inputs!$H$105</definedName>
    <definedName name="ibi_fed_amount_tax_fed">Inputs!$E$105</definedName>
    <definedName name="ibi_fed_amount_tax_sta">Inputs!$F$105</definedName>
    <definedName name="ibi_fed_percent">Inputs!$C$110</definedName>
    <definedName name="ibi_fed_percent_deprbas_fed">Inputs!$G$110</definedName>
    <definedName name="ibi_fed_percent_deprbas_sta">Inputs!$H$110</definedName>
    <definedName name="ibi_fed_percent_maxvalue">Inputs!$D$110</definedName>
    <definedName name="ibi_fed_percent_tax_fed">Inputs!$E$110</definedName>
    <definedName name="ibi_fed_percent_tax_sta">Inputs!$F$110</definedName>
    <definedName name="ibi_oth_amount">Inputs!$C$108</definedName>
    <definedName name="ibi_oth_amount_deprbas_fed">Inputs!$G$108</definedName>
    <definedName name="ibi_oth_amount_deprbas_sta">Inputs!$H$108</definedName>
    <definedName name="ibi_oth_amount_tax_fed">Inputs!$E$108</definedName>
    <definedName name="ibi_oth_amount_tax_sta">Inputs!$F$108</definedName>
    <definedName name="ibi_oth_percent">Inputs!$C$113</definedName>
    <definedName name="ibi_oth_percent_deprbas_fed">Inputs!$G$113</definedName>
    <definedName name="ibi_oth_percent_deprbas_sta">Inputs!$H$113</definedName>
    <definedName name="ibi_oth_percent_maxvalue">Inputs!$D$113</definedName>
    <definedName name="ibi_oth_percent_tax_fed">Inputs!$E$113</definedName>
    <definedName name="ibi_oth_percent_tax_sta">Inputs!$F$113</definedName>
    <definedName name="ibi_sta_amount">Inputs!$C$106</definedName>
    <definedName name="ibi_sta_amount_deprbas_fed">Inputs!$G$106</definedName>
    <definedName name="ibi_sta_amount_deprbas_sta">Inputs!$H$106</definedName>
    <definedName name="ibi_sta_amount_tax_fed">Inputs!$E$106</definedName>
    <definedName name="ibi_sta_amount_tax_sta">Inputs!$F$106</definedName>
    <definedName name="ibi_sta_percent">Inputs!$C$111</definedName>
    <definedName name="ibi_sta_percent_deprbas_fed">Inputs!$G$111</definedName>
    <definedName name="ibi_sta_percent_deprbas_sta">Inputs!$H$111</definedName>
    <definedName name="ibi_sta_percent_maxvalue">Inputs!$D$111</definedName>
    <definedName name="ibi_sta_percent_tax_fed">Inputs!$E$111</definedName>
    <definedName name="ibi_sta_percent_tax_sta">Inputs!$F$111</definedName>
    <definedName name="ibi_uti_amount">Inputs!$C$107</definedName>
    <definedName name="ibi_uti_amount_deprbas_fed">Inputs!$G$107</definedName>
    <definedName name="ibi_uti_amount_deprbas_sta">Inputs!$H$107</definedName>
    <definedName name="ibi_uti_amount_tax_fed">Inputs!$E$107</definedName>
    <definedName name="ibi_uti_amount_tax_sta">Inputs!$F$107</definedName>
    <definedName name="ibi_uti_percent">Inputs!$C$112</definedName>
    <definedName name="ibi_uti_percent_deprbas_fed">Inputs!$G$112</definedName>
    <definedName name="ibi_uti_percent_deprbas_sta">Inputs!$H$112</definedName>
    <definedName name="ibi_uti_percent_maxvalue">Inputs!$D$112</definedName>
    <definedName name="ibi_uti_percent_tax_fed">Inputs!$E$112</definedName>
    <definedName name="ibi_uti_percent_tax_sta">Inputs!$F$112</definedName>
    <definedName name="inflation_rate">Inputs!$C$41</definedName>
    <definedName name="insurance_rate">Inputs!$C$48</definedName>
    <definedName name="IRRTarget">Inputs!$C$29</definedName>
    <definedName name="itc_fed_amount">Inputs!$D$159</definedName>
    <definedName name="itc_fed_amount_deprbas_fed">Inputs!$E$93</definedName>
    <definedName name="itc_fed_amount_deprbas_sta">Inputs!$F$93</definedName>
    <definedName name="itc_fed_percent">Inputs!$D$161</definedName>
    <definedName name="itc_fed_percent_deprbas_fed">Inputs!$E$96</definedName>
    <definedName name="itc_fed_percent_deprbas_sta">Inputs!$F$96</definedName>
    <definedName name="itc_fed_percent_maxvalue">Inputs!$D$162</definedName>
    <definedName name="itc_sta_amount">Inputs!$D$160</definedName>
    <definedName name="itc_sta_amount_deprbas_fed">Inputs!$E$94</definedName>
    <definedName name="itc_sta_amount_deprbas_sta">Inputs!$F$94</definedName>
    <definedName name="itc_sta_percent">Inputs!$D$163</definedName>
    <definedName name="itc_sta_percent_deprbas_fed">Inputs!$E$97</definedName>
    <definedName name="itc_sta_percent_deprbas_sta">Inputs!$F$97</definedName>
    <definedName name="itc_sta_percent_maxvalue">Inputs!$D$164</definedName>
    <definedName name="months_receivables_reserve">Inputs!$C$81</definedName>
    <definedName name="months_working_reserve">Inputs!$C$79</definedName>
    <definedName name="NominalDiscountRate">Inputs!$C$43</definedName>
    <definedName name="om_capacity">Inputs!$C$11</definedName>
    <definedName name="om_capacity_escal">Inputs!$C$12</definedName>
    <definedName name="om_fixed">Inputs!$C$9</definedName>
    <definedName name="om_fixed_escal">Inputs!$C$10</definedName>
    <definedName name="om_fuel_cost">Inputs!$C$24</definedName>
    <definedName name="om_fuel_cost_escal">Inputs!$C$25</definedName>
    <definedName name="om_land_lease">Inputs!$C$18</definedName>
    <definedName name="om_land_lease_escal">Inputs!$C$19</definedName>
    <definedName name="om_production">Inputs!$C$13</definedName>
    <definedName name="om_production_escal">Inputs!$C$14</definedName>
    <definedName name="pbi_fed_amount">Inputs!$C$120</definedName>
    <definedName name="pbi_fed_escal">Inputs!$E$120</definedName>
    <definedName name="pbi_fed_for_ds">Inputs!$H$120</definedName>
    <definedName name="pbi_fed_tax_fed">Inputs!$F$120</definedName>
    <definedName name="pbi_fed_tax_sta">Inputs!$G$120</definedName>
    <definedName name="pbi_fed_term">Inputs!$D$120</definedName>
    <definedName name="pbi_oth_amount">Inputs!$C$123</definedName>
    <definedName name="pbi_oth_escal">Inputs!$E$123</definedName>
    <definedName name="pbi_oth_for_ds">Inputs!$H$123</definedName>
    <definedName name="pbi_oth_tax_fed">Inputs!$F$123</definedName>
    <definedName name="pbi_oth_tax_sta">Inputs!$G$123</definedName>
    <definedName name="pbi_oth_term">Inputs!$D$123</definedName>
    <definedName name="pbi_sta_amount">Inputs!$C$121</definedName>
    <definedName name="pbi_sta_escal">Inputs!$E$121</definedName>
    <definedName name="pbi_sta_for_ds">Inputs!$H$121</definedName>
    <definedName name="pbi_sta_tax_fed">Inputs!$F$121</definedName>
    <definedName name="pbi_sta_tax_sta">Inputs!$G$121</definedName>
    <definedName name="pbi_sta_term">Inputs!$D$121</definedName>
    <definedName name="pbi_uti_amount">Inputs!$C$122</definedName>
    <definedName name="pbi_uti_escal">Inputs!$E$122</definedName>
    <definedName name="pbi_uti_for_ds">Inputs!$H$122</definedName>
    <definedName name="pbi_uti_tax_fed">Inputs!$F$122</definedName>
    <definedName name="pbi_uti_tax_sta">Inputs!$G$122</definedName>
    <definedName name="pbi_uti_term">Inputs!$D$122</definedName>
    <definedName name="ppa_escalation">Inputs!$C$32</definedName>
    <definedName name="PPAPriceInput">Inputs!$C$31</definedName>
    <definedName name="prop_tax_assessed_decline">Inputs!$C$52</definedName>
    <definedName name="prop_tax_cost_assessed_percent">Inputs!$C$50</definedName>
    <definedName name="property_tax_rate">Inputs!$C$53</definedName>
    <definedName name="PropertyTaxAssessedValue">Inputs!$C$51</definedName>
    <definedName name="ptc_fed_amount">Inputs!$C$99</definedName>
    <definedName name="ptc_fed_escal">Inputs!$E$99</definedName>
    <definedName name="ptc_fed_term">Inputs!$D$99</definedName>
    <definedName name="ptc_sta_amount">Inputs!$C$100</definedName>
    <definedName name="ptc_sta_escal">Inputs!$E$100</definedName>
    <definedName name="ptc_sta_term">Inputs!$D$100</definedName>
    <definedName name="real_discount_rate">Inputs!$C$42</definedName>
    <definedName name="reserves_interest">Inputs!$C$78</definedName>
    <definedName name="sales_tax_rate">Inputs!$C$47</definedName>
    <definedName name="salvage_percentage">Inputs!$C$55</definedName>
    <definedName name="solver_adj" localSheetId="0" hidden="1">Inputs!#REF!</definedName>
    <definedName name="solver_cvg" localSheetId="0" hidden="1">0.0001</definedName>
    <definedName name="solver_drv" localSheetId="0" hidden="1">1</definedName>
    <definedName name="solver_est" localSheetId="0" hidden="1">1</definedName>
    <definedName name="solver_itr" localSheetId="0" hidden="1">100</definedName>
    <definedName name="solver_lin" localSheetId="0" hidden="1">2</definedName>
    <definedName name="solver_neg" localSheetId="0" hidden="1">2</definedName>
    <definedName name="solver_num" localSheetId="0" hidden="1">0</definedName>
    <definedName name="solver_nwt" localSheetId="0" hidden="1">1</definedName>
    <definedName name="solver_opt" localSheetId="0" hidden="1">Inputs!#REF!</definedName>
    <definedName name="solver_pre" localSheetId="0" hidden="1">0.000001</definedName>
    <definedName name="solver_scl" localSheetId="0" hidden="1">2</definedName>
    <definedName name="solver_sho" localSheetId="0" hidden="1">2</definedName>
    <definedName name="solver_tim" localSheetId="0" hidden="1">100</definedName>
    <definedName name="solver_tol" localSheetId="0" hidden="1">0.05</definedName>
    <definedName name="solver_typ" localSheetId="0" hidden="1">3</definedName>
    <definedName name="solver_val" localSheetId="0" hidden="1">0.1</definedName>
    <definedName name="sponsor_operating_margin">Inputs!$C$35</definedName>
    <definedName name="sponsor_operating_margin_escalation">Inputs!$C$37</definedName>
    <definedName name="state_tax_rate">Inputs!$C$46</definedName>
    <definedName name="system_capacity">Inputs!$C$3</definedName>
    <definedName name="system_heat_rate">Inputs!$C$23</definedName>
    <definedName name="tax_investor_required_lease_reserve">Inputs!$C$38</definedName>
    <definedName name="TODMultipliersApply">Inputs!$C$33</definedName>
    <definedName name="total_installed_cost">Inputs!$C$6</definedName>
    <definedName name="total_land_area">Inputs!$C$17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96" i="7" l="1" a="1"/>
  <c r="D596" i="7" s="1"/>
  <c r="C596" i="7"/>
  <c r="F596" i="7"/>
  <c r="G596" i="7"/>
  <c r="J596" i="7"/>
  <c r="K596" i="7"/>
  <c r="N596" i="7"/>
  <c r="O596" i="7"/>
  <c r="R596" i="7"/>
  <c r="S596" i="7"/>
  <c r="V596" i="7"/>
  <c r="W596" i="7"/>
  <c r="Z596" i="7"/>
  <c r="AA596" i="7"/>
  <c r="AD596" i="7"/>
  <c r="AE596" i="7"/>
  <c r="AH596" i="7"/>
  <c r="AI596" i="7"/>
  <c r="AL596" i="7"/>
  <c r="AM596" i="7"/>
  <c r="AP596" i="7"/>
  <c r="C595" i="7" a="1"/>
  <c r="E595" i="7" s="1"/>
  <c r="C595" i="7"/>
  <c r="D595" i="7"/>
  <c r="F595" i="7"/>
  <c r="G595" i="7"/>
  <c r="H595" i="7"/>
  <c r="J595" i="7"/>
  <c r="K595" i="7"/>
  <c r="L595" i="7"/>
  <c r="N595" i="7"/>
  <c r="O595" i="7"/>
  <c r="P595" i="7"/>
  <c r="R595" i="7"/>
  <c r="S595" i="7"/>
  <c r="T595" i="7"/>
  <c r="V595" i="7"/>
  <c r="W595" i="7"/>
  <c r="X595" i="7"/>
  <c r="Z595" i="7"/>
  <c r="AA595" i="7"/>
  <c r="AB595" i="7"/>
  <c r="AD595" i="7"/>
  <c r="AE595" i="7"/>
  <c r="AF595" i="7"/>
  <c r="AH595" i="7"/>
  <c r="AI595" i="7"/>
  <c r="AJ595" i="7"/>
  <c r="AL595" i="7"/>
  <c r="AM595" i="7"/>
  <c r="AN595" i="7"/>
  <c r="AP595" i="7"/>
  <c r="C594" i="7" a="1"/>
  <c r="E594" i="7" s="1"/>
  <c r="C594" i="7"/>
  <c r="D594" i="7"/>
  <c r="F594" i="7"/>
  <c r="G594" i="7"/>
  <c r="H594" i="7"/>
  <c r="J594" i="7"/>
  <c r="K594" i="7"/>
  <c r="L594" i="7"/>
  <c r="N594" i="7"/>
  <c r="O594" i="7"/>
  <c r="P594" i="7"/>
  <c r="R594" i="7"/>
  <c r="S594" i="7"/>
  <c r="T594" i="7"/>
  <c r="V594" i="7"/>
  <c r="W594" i="7"/>
  <c r="X594" i="7"/>
  <c r="Z594" i="7"/>
  <c r="AA594" i="7"/>
  <c r="AB594" i="7"/>
  <c r="AD594" i="7"/>
  <c r="AE594" i="7"/>
  <c r="AF594" i="7"/>
  <c r="AH594" i="7"/>
  <c r="AI594" i="7"/>
  <c r="AJ594" i="7"/>
  <c r="AL594" i="7"/>
  <c r="AM594" i="7"/>
  <c r="AN594" i="7"/>
  <c r="AP594" i="7"/>
  <c r="C590" i="7" a="1"/>
  <c r="E590" i="7" s="1"/>
  <c r="C590" i="7"/>
  <c r="D590" i="7"/>
  <c r="F590" i="7"/>
  <c r="G590" i="7"/>
  <c r="H590" i="7"/>
  <c r="J590" i="7"/>
  <c r="K590" i="7"/>
  <c r="L590" i="7"/>
  <c r="N590" i="7"/>
  <c r="O590" i="7"/>
  <c r="P590" i="7"/>
  <c r="R590" i="7"/>
  <c r="S590" i="7"/>
  <c r="T590" i="7"/>
  <c r="V590" i="7"/>
  <c r="W590" i="7"/>
  <c r="X590" i="7"/>
  <c r="Z590" i="7"/>
  <c r="AA590" i="7"/>
  <c r="AB590" i="7"/>
  <c r="AD590" i="7"/>
  <c r="AE590" i="7"/>
  <c r="AF590" i="7"/>
  <c r="AH590" i="7"/>
  <c r="AI590" i="7"/>
  <c r="AJ590" i="7"/>
  <c r="AL590" i="7"/>
  <c r="AM590" i="7"/>
  <c r="AN590" i="7"/>
  <c r="AP590" i="7"/>
  <c r="C589" i="7" a="1"/>
  <c r="J589" i="7" s="1"/>
  <c r="C588" i="7" a="1"/>
  <c r="E588" i="7" s="1"/>
  <c r="C588" i="7"/>
  <c r="D588" i="7"/>
  <c r="F588" i="7"/>
  <c r="G588" i="7"/>
  <c r="H588" i="7"/>
  <c r="J588" i="7"/>
  <c r="K588" i="7"/>
  <c r="L588" i="7"/>
  <c r="N588" i="7"/>
  <c r="O588" i="7"/>
  <c r="P588" i="7"/>
  <c r="R588" i="7"/>
  <c r="S588" i="7"/>
  <c r="T588" i="7"/>
  <c r="V588" i="7"/>
  <c r="W588" i="7"/>
  <c r="X588" i="7"/>
  <c r="Z588" i="7"/>
  <c r="AA588" i="7"/>
  <c r="AB588" i="7"/>
  <c r="AD588" i="7"/>
  <c r="AE588" i="7"/>
  <c r="AF588" i="7"/>
  <c r="AH588" i="7"/>
  <c r="AI588" i="7"/>
  <c r="AJ588" i="7"/>
  <c r="AL588" i="7"/>
  <c r="AM588" i="7"/>
  <c r="AN588" i="7"/>
  <c r="AP588" i="7"/>
  <c r="D97" i="1"/>
  <c r="D96" i="1"/>
  <c r="C97" i="1"/>
  <c r="C96" i="1"/>
  <c r="C94" i="1"/>
  <c r="C93" i="1"/>
  <c r="AO596" i="7" l="1"/>
  <c r="AK596" i="7"/>
  <c r="AG596" i="7"/>
  <c r="AC596" i="7"/>
  <c r="Y596" i="7"/>
  <c r="U596" i="7"/>
  <c r="Q596" i="7"/>
  <c r="M596" i="7"/>
  <c r="I596" i="7"/>
  <c r="E596" i="7"/>
  <c r="AN596" i="7"/>
  <c r="AJ596" i="7"/>
  <c r="AF596" i="7"/>
  <c r="AB596" i="7"/>
  <c r="X596" i="7"/>
  <c r="T596" i="7"/>
  <c r="P596" i="7"/>
  <c r="L596" i="7"/>
  <c r="H596" i="7"/>
  <c r="AO595" i="7"/>
  <c r="AK595" i="7"/>
  <c r="AG595" i="7"/>
  <c r="AC595" i="7"/>
  <c r="Y595" i="7"/>
  <c r="U595" i="7"/>
  <c r="Q595" i="7"/>
  <c r="M595" i="7"/>
  <c r="I595" i="7"/>
  <c r="AO594" i="7"/>
  <c r="AK594" i="7"/>
  <c r="AG594" i="7"/>
  <c r="AC594" i="7"/>
  <c r="Y594" i="7"/>
  <c r="U594" i="7"/>
  <c r="Q594" i="7"/>
  <c r="M594" i="7"/>
  <c r="I594" i="7"/>
  <c r="AO590" i="7"/>
  <c r="AK590" i="7"/>
  <c r="AG590" i="7"/>
  <c r="AC590" i="7"/>
  <c r="Y590" i="7"/>
  <c r="U590" i="7"/>
  <c r="Q590" i="7"/>
  <c r="M590" i="7"/>
  <c r="I590" i="7"/>
  <c r="AO589" i="7"/>
  <c r="AK589" i="7"/>
  <c r="AG589" i="7"/>
  <c r="AC589" i="7"/>
  <c r="Y589" i="7"/>
  <c r="U589" i="7"/>
  <c r="Q589" i="7"/>
  <c r="M589" i="7"/>
  <c r="I589" i="7"/>
  <c r="E589" i="7"/>
  <c r="AM589" i="7"/>
  <c r="AE589" i="7"/>
  <c r="W589" i="7"/>
  <c r="K589" i="7"/>
  <c r="AP589" i="7"/>
  <c r="AL589" i="7"/>
  <c r="AH589" i="7"/>
  <c r="AD589" i="7"/>
  <c r="Z589" i="7"/>
  <c r="V589" i="7"/>
  <c r="R589" i="7"/>
  <c r="N589" i="7"/>
  <c r="F589" i="7"/>
  <c r="AN589" i="7"/>
  <c r="AJ589" i="7"/>
  <c r="AF589" i="7"/>
  <c r="AB589" i="7"/>
  <c r="X589" i="7"/>
  <c r="T589" i="7"/>
  <c r="P589" i="7"/>
  <c r="L589" i="7"/>
  <c r="H589" i="7"/>
  <c r="D589" i="7"/>
  <c r="AI589" i="7"/>
  <c r="AA589" i="7"/>
  <c r="S589" i="7"/>
  <c r="O589" i="7"/>
  <c r="G589" i="7"/>
  <c r="C589" i="7"/>
  <c r="AO588" i="7"/>
  <c r="AK588" i="7"/>
  <c r="AG588" i="7"/>
  <c r="AC588" i="7"/>
  <c r="Y588" i="7"/>
  <c r="U588" i="7"/>
  <c r="Q588" i="7"/>
  <c r="M588" i="7"/>
  <c r="I588" i="7"/>
  <c r="K322" i="7" l="1"/>
  <c r="K458" i="7"/>
  <c r="AP243"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AP242"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AP241"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AP240"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3" i="7"/>
  <c r="C242" i="7"/>
  <c r="C241" i="7"/>
  <c r="C240" i="7"/>
  <c r="AP224"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P223"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P222"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P221"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C225" i="7" s="1"/>
  <c r="C244" i="7" l="1"/>
  <c r="AP670" i="7"/>
  <c r="B19" i="7" a="1"/>
  <c r="B19" i="7" s="1"/>
  <c r="B16" i="7" a="1"/>
  <c r="B16" i="7" s="1"/>
  <c r="B52" i="7" a="1"/>
  <c r="B52" i="7" s="1"/>
  <c r="B205" i="7" a="1"/>
  <c r="D205" i="7" s="1"/>
  <c r="C205" i="7"/>
  <c r="K205" i="7"/>
  <c r="V205" i="7"/>
  <c r="AE205" i="7"/>
  <c r="AO205" i="7"/>
  <c r="B204" i="7" a="1"/>
  <c r="D204" i="7" s="1"/>
  <c r="B46" i="7" a="1"/>
  <c r="E46" i="7" s="1"/>
  <c r="B41" i="7" a="1"/>
  <c r="B41" i="7" s="1"/>
  <c r="B8" i="7" a="1"/>
  <c r="D8" i="7" s="1"/>
  <c r="B5" i="7" a="1"/>
  <c r="B5" i="7" s="1"/>
  <c r="AM21" i="7" l="1"/>
  <c r="AE21" i="7"/>
  <c r="W21" i="7"/>
  <c r="O21" i="7"/>
  <c r="G21" i="7"/>
  <c r="AN20" i="7"/>
  <c r="AF20" i="7"/>
  <c r="X20" i="7"/>
  <c r="P20" i="7"/>
  <c r="H20" i="7"/>
  <c r="AO19" i="7"/>
  <c r="AG19" i="7"/>
  <c r="Y19" i="7"/>
  <c r="Q19" i="7"/>
  <c r="I19" i="7"/>
  <c r="AP21" i="7"/>
  <c r="AH21" i="7"/>
  <c r="Z21" i="7"/>
  <c r="R21" i="7"/>
  <c r="J21" i="7"/>
  <c r="B21" i="7"/>
  <c r="AI20" i="7"/>
  <c r="AA20" i="7"/>
  <c r="S20" i="7"/>
  <c r="K20" i="7"/>
  <c r="C20" i="7"/>
  <c r="AF19" i="7"/>
  <c r="L19" i="7"/>
  <c r="AO21" i="7"/>
  <c r="AG21" i="7"/>
  <c r="AC21" i="7"/>
  <c r="Y21" i="7"/>
  <c r="U21" i="7"/>
  <c r="Q21" i="7"/>
  <c r="M21" i="7"/>
  <c r="I21" i="7"/>
  <c r="E21" i="7"/>
  <c r="AP20" i="7"/>
  <c r="AL20" i="7"/>
  <c r="AH20" i="7"/>
  <c r="AD20" i="7"/>
  <c r="Z20" i="7"/>
  <c r="V20" i="7"/>
  <c r="R20" i="7"/>
  <c r="N20" i="7"/>
  <c r="J20" i="7"/>
  <c r="F20" i="7"/>
  <c r="B20" i="7"/>
  <c r="AM19" i="7"/>
  <c r="AI19" i="7"/>
  <c r="AE19" i="7"/>
  <c r="AA19" i="7"/>
  <c r="W19" i="7"/>
  <c r="S19" i="7"/>
  <c r="O19" i="7"/>
  <c r="K19" i="7"/>
  <c r="G19" i="7"/>
  <c r="C19" i="7"/>
  <c r="AI21" i="7"/>
  <c r="AA21" i="7"/>
  <c r="S21" i="7"/>
  <c r="K21" i="7"/>
  <c r="C21" i="7"/>
  <c r="AJ20" i="7"/>
  <c r="AB20" i="7"/>
  <c r="T20" i="7"/>
  <c r="L20" i="7"/>
  <c r="D20" i="7"/>
  <c r="AK19" i="7"/>
  <c r="AC19" i="7"/>
  <c r="U19" i="7"/>
  <c r="M19" i="7"/>
  <c r="E19" i="7"/>
  <c r="AL21" i="7"/>
  <c r="AD21" i="7"/>
  <c r="V21" i="7"/>
  <c r="N21" i="7"/>
  <c r="F21" i="7"/>
  <c r="AM20" i="7"/>
  <c r="AE20" i="7"/>
  <c r="W20" i="7"/>
  <c r="O20" i="7"/>
  <c r="G20" i="7"/>
  <c r="AN19" i="7"/>
  <c r="AJ19" i="7"/>
  <c r="AB19" i="7"/>
  <c r="X19" i="7"/>
  <c r="T19" i="7"/>
  <c r="P19" i="7"/>
  <c r="H19" i="7"/>
  <c r="D19" i="7"/>
  <c r="AK21" i="7"/>
  <c r="AN21" i="7"/>
  <c r="AJ21" i="7"/>
  <c r="AF21" i="7"/>
  <c r="AB21" i="7"/>
  <c r="X21" i="7"/>
  <c r="T21" i="7"/>
  <c r="P21" i="7"/>
  <c r="L21" i="7"/>
  <c r="H21" i="7"/>
  <c r="D21" i="7"/>
  <c r="AO20" i="7"/>
  <c r="AK20" i="7"/>
  <c r="AG20" i="7"/>
  <c r="AC20" i="7"/>
  <c r="Y20" i="7"/>
  <c r="U20" i="7"/>
  <c r="Q20" i="7"/>
  <c r="M20" i="7"/>
  <c r="I20" i="7"/>
  <c r="E20" i="7"/>
  <c r="AP19" i="7"/>
  <c r="AL19" i="7"/>
  <c r="AH19" i="7"/>
  <c r="AD19" i="7"/>
  <c r="Z19" i="7"/>
  <c r="V19" i="7"/>
  <c r="R19" i="7"/>
  <c r="N19" i="7"/>
  <c r="J19" i="7"/>
  <c r="F19" i="7"/>
  <c r="AL204" i="7"/>
  <c r="Y204" i="7"/>
  <c r="J204" i="7"/>
  <c r="AO204" i="7"/>
  <c r="Z204" i="7"/>
  <c r="K204" i="7"/>
  <c r="AG204" i="7"/>
  <c r="S204" i="7"/>
  <c r="E204" i="7"/>
  <c r="AE204" i="7"/>
  <c r="Q204" i="7"/>
  <c r="C204" i="7"/>
  <c r="AK205" i="7"/>
  <c r="Z205" i="7"/>
  <c r="Q205" i="7"/>
  <c r="I205" i="7"/>
  <c r="AL205" i="7"/>
  <c r="AD205" i="7"/>
  <c r="S205" i="7"/>
  <c r="J205" i="7"/>
  <c r="AG205" i="7"/>
  <c r="Y205" i="7"/>
  <c r="O205" i="7"/>
  <c r="E205" i="7"/>
  <c r="AF17" i="7"/>
  <c r="AN17" i="7"/>
  <c r="AJ17" i="7"/>
  <c r="AB17" i="7"/>
  <c r="X17" i="7"/>
  <c r="T17" i="7"/>
  <c r="P17" i="7"/>
  <c r="L17" i="7"/>
  <c r="H17" i="7"/>
  <c r="D17" i="7"/>
  <c r="AO16" i="7"/>
  <c r="AK16" i="7"/>
  <c r="AG16" i="7"/>
  <c r="AC16" i="7"/>
  <c r="Y16" i="7"/>
  <c r="U16" i="7"/>
  <c r="Q16" i="7"/>
  <c r="M16" i="7"/>
  <c r="I16" i="7"/>
  <c r="E16" i="7"/>
  <c r="AM17" i="7"/>
  <c r="AL670" i="7" s="1"/>
  <c r="AI17" i="7"/>
  <c r="AE17" i="7"/>
  <c r="AA17" i="7"/>
  <c r="W17" i="7"/>
  <c r="V670" i="7" s="1"/>
  <c r="S17" i="7"/>
  <c r="O17" i="7"/>
  <c r="K17" i="7"/>
  <c r="G17" i="7"/>
  <c r="F670" i="7" s="1"/>
  <c r="C17" i="7"/>
  <c r="AN16" i="7"/>
  <c r="AJ16" i="7"/>
  <c r="AF16" i="7"/>
  <c r="AB16" i="7"/>
  <c r="X16" i="7"/>
  <c r="T16" i="7"/>
  <c r="P16" i="7"/>
  <c r="L16" i="7"/>
  <c r="H16" i="7"/>
  <c r="D16" i="7"/>
  <c r="AP17" i="7"/>
  <c r="AL17" i="7"/>
  <c r="AH17" i="7"/>
  <c r="AD17" i="7"/>
  <c r="Z17" i="7"/>
  <c r="V17" i="7"/>
  <c r="R17" i="7"/>
  <c r="N17" i="7"/>
  <c r="J17" i="7"/>
  <c r="F17" i="7"/>
  <c r="B17" i="7"/>
  <c r="AM16" i="7"/>
  <c r="AI16" i="7"/>
  <c r="AE16" i="7"/>
  <c r="AA16" i="7"/>
  <c r="W16" i="7"/>
  <c r="S16" i="7"/>
  <c r="O16" i="7"/>
  <c r="K16" i="7"/>
  <c r="G16" i="7"/>
  <c r="C16" i="7"/>
  <c r="AO17" i="7"/>
  <c r="AK17" i="7"/>
  <c r="AG17" i="7"/>
  <c r="AC17" i="7"/>
  <c r="Y17" i="7"/>
  <c r="U17" i="7"/>
  <c r="Q17" i="7"/>
  <c r="M17" i="7"/>
  <c r="I17" i="7"/>
  <c r="E17" i="7"/>
  <c r="AP16" i="7"/>
  <c r="AL16" i="7"/>
  <c r="AH16" i="7"/>
  <c r="AD16" i="7"/>
  <c r="Z16" i="7"/>
  <c r="V16" i="7"/>
  <c r="R16" i="7"/>
  <c r="N16" i="7"/>
  <c r="J16" i="7"/>
  <c r="F16" i="7"/>
  <c r="AK204" i="7"/>
  <c r="AD204" i="7"/>
  <c r="V204" i="7"/>
  <c r="O204" i="7"/>
  <c r="I204" i="7"/>
  <c r="AP204" i="7"/>
  <c r="AI204" i="7"/>
  <c r="AA204" i="7"/>
  <c r="U204" i="7"/>
  <c r="N204" i="7"/>
  <c r="F204" i="7"/>
  <c r="AP205" i="7"/>
  <c r="AI205" i="7"/>
  <c r="AA205" i="7"/>
  <c r="U205" i="7"/>
  <c r="N205" i="7"/>
  <c r="F205" i="7"/>
  <c r="AM204" i="7"/>
  <c r="AH204" i="7"/>
  <c r="AC204" i="7"/>
  <c r="W204" i="7"/>
  <c r="R204" i="7"/>
  <c r="M204" i="7"/>
  <c r="G204" i="7"/>
  <c r="B204" i="7"/>
  <c r="AM205" i="7"/>
  <c r="AH205" i="7"/>
  <c r="AC205" i="7"/>
  <c r="W205" i="7"/>
  <c r="R205" i="7"/>
  <c r="M205" i="7"/>
  <c r="G205" i="7"/>
  <c r="B205" i="7"/>
  <c r="AE54" i="7"/>
  <c r="S54" i="7"/>
  <c r="K54" i="7"/>
  <c r="AN53" i="7"/>
  <c r="AF53" i="7"/>
  <c r="AB53" i="7"/>
  <c r="P53" i="7"/>
  <c r="L53" i="7"/>
  <c r="H53" i="7"/>
  <c r="D53" i="7"/>
  <c r="AK52" i="7"/>
  <c r="AG52" i="7"/>
  <c r="AC52" i="7"/>
  <c r="Y52" i="7"/>
  <c r="U52" i="7"/>
  <c r="Q52" i="7"/>
  <c r="M52" i="7"/>
  <c r="I52" i="7"/>
  <c r="E52" i="7"/>
  <c r="AP54" i="7"/>
  <c r="AL54" i="7"/>
  <c r="AH54" i="7"/>
  <c r="AD54" i="7"/>
  <c r="Z54" i="7"/>
  <c r="V54" i="7"/>
  <c r="R54" i="7"/>
  <c r="N54" i="7"/>
  <c r="J54" i="7"/>
  <c r="F54" i="7"/>
  <c r="B54" i="7"/>
  <c r="AM53" i="7"/>
  <c r="AI53" i="7"/>
  <c r="AE53" i="7"/>
  <c r="AA53" i="7"/>
  <c r="W53" i="7"/>
  <c r="S53" i="7"/>
  <c r="O53" i="7"/>
  <c r="K53" i="7"/>
  <c r="G53" i="7"/>
  <c r="C53" i="7"/>
  <c r="AN52" i="7"/>
  <c r="AJ52" i="7"/>
  <c r="AF52" i="7"/>
  <c r="AB52" i="7"/>
  <c r="X52" i="7"/>
  <c r="T52" i="7"/>
  <c r="P52" i="7"/>
  <c r="L52" i="7"/>
  <c r="H52" i="7"/>
  <c r="D52" i="7"/>
  <c r="AI54" i="7"/>
  <c r="W54" i="7"/>
  <c r="C54" i="7"/>
  <c r="T53" i="7"/>
  <c r="AO54" i="7"/>
  <c r="I54" i="7"/>
  <c r="C52" i="7"/>
  <c r="AM54" i="7"/>
  <c r="AA54" i="7"/>
  <c r="O54" i="7"/>
  <c r="G54" i="7"/>
  <c r="AJ53" i="7"/>
  <c r="X53" i="7"/>
  <c r="AO52" i="7"/>
  <c r="AK54" i="7"/>
  <c r="AG54" i="7"/>
  <c r="AC54" i="7"/>
  <c r="Y54" i="7"/>
  <c r="U54" i="7"/>
  <c r="Q54" i="7"/>
  <c r="M54" i="7"/>
  <c r="E54" i="7"/>
  <c r="AP53" i="7"/>
  <c r="AL53" i="7"/>
  <c r="AH53" i="7"/>
  <c r="AD53" i="7"/>
  <c r="Z53" i="7"/>
  <c r="V53" i="7"/>
  <c r="R53" i="7"/>
  <c r="N53" i="7"/>
  <c r="J53" i="7"/>
  <c r="F53" i="7"/>
  <c r="B53" i="7"/>
  <c r="AM52" i="7"/>
  <c r="AI52" i="7"/>
  <c r="AE52" i="7"/>
  <c r="AA52" i="7"/>
  <c r="W52" i="7"/>
  <c r="S52" i="7"/>
  <c r="O52" i="7"/>
  <c r="K52" i="7"/>
  <c r="G52" i="7"/>
  <c r="AN54" i="7"/>
  <c r="AJ54" i="7"/>
  <c r="AF54" i="7"/>
  <c r="AB54" i="7"/>
  <c r="X54" i="7"/>
  <c r="T54" i="7"/>
  <c r="P54" i="7"/>
  <c r="L54" i="7"/>
  <c r="H54" i="7"/>
  <c r="D54" i="7"/>
  <c r="AO53" i="7"/>
  <c r="AK53" i="7"/>
  <c r="AG53" i="7"/>
  <c r="AC53" i="7"/>
  <c r="Y53" i="7"/>
  <c r="U53" i="7"/>
  <c r="Q53" i="7"/>
  <c r="M53" i="7"/>
  <c r="I53" i="7"/>
  <c r="E53" i="7"/>
  <c r="AP52" i="7"/>
  <c r="AL52" i="7"/>
  <c r="AH52" i="7"/>
  <c r="AD52" i="7"/>
  <c r="Z52" i="7"/>
  <c r="V52" i="7"/>
  <c r="R52" i="7"/>
  <c r="N52" i="7"/>
  <c r="J52" i="7"/>
  <c r="F52" i="7"/>
  <c r="AN205" i="7"/>
  <c r="AJ205" i="7"/>
  <c r="AF205" i="7"/>
  <c r="AB205" i="7"/>
  <c r="X205" i="7"/>
  <c r="T205" i="7"/>
  <c r="P205" i="7"/>
  <c r="L205" i="7"/>
  <c r="H205" i="7"/>
  <c r="AN204" i="7"/>
  <c r="AJ204" i="7"/>
  <c r="AF204" i="7"/>
  <c r="AB204" i="7"/>
  <c r="X204" i="7"/>
  <c r="T204" i="7"/>
  <c r="P204" i="7"/>
  <c r="L204" i="7"/>
  <c r="H204" i="7"/>
  <c r="Z44" i="7"/>
  <c r="W43" i="7"/>
  <c r="N44" i="7"/>
  <c r="AM43" i="7"/>
  <c r="AD44" i="7"/>
  <c r="AI43" i="7"/>
  <c r="AP44" i="7"/>
  <c r="J44" i="7"/>
  <c r="S43" i="7"/>
  <c r="AL50" i="7"/>
  <c r="AD50" i="7"/>
  <c r="V50" i="7"/>
  <c r="N50" i="7"/>
  <c r="F50" i="7"/>
  <c r="AM49" i="7"/>
  <c r="AE49" i="7"/>
  <c r="W49" i="7"/>
  <c r="O49" i="7"/>
  <c r="AO48" i="7"/>
  <c r="Y48" i="7"/>
  <c r="I48" i="7"/>
  <c r="AH47" i="7"/>
  <c r="R47" i="7"/>
  <c r="B47" i="7"/>
  <c r="AA46" i="7"/>
  <c r="K46" i="7"/>
  <c r="AI50" i="7"/>
  <c r="AA50" i="7"/>
  <c r="S50" i="7"/>
  <c r="K50" i="7"/>
  <c r="C50" i="7"/>
  <c r="AJ49" i="7"/>
  <c r="AB49" i="7"/>
  <c r="T49" i="7"/>
  <c r="L49" i="7"/>
  <c r="AK48" i="7"/>
  <c r="U48" i="7"/>
  <c r="E48" i="7"/>
  <c r="AD47" i="7"/>
  <c r="N47" i="7"/>
  <c r="AM46" i="7"/>
  <c r="W46" i="7"/>
  <c r="G46" i="7"/>
  <c r="AM50" i="7"/>
  <c r="AE50" i="7"/>
  <c r="W50" i="7"/>
  <c r="O50" i="7"/>
  <c r="G50" i="7"/>
  <c r="AN49" i="7"/>
  <c r="AF49" i="7"/>
  <c r="X49" i="7"/>
  <c r="P49" i="7"/>
  <c r="D49" i="7"/>
  <c r="AC48" i="7"/>
  <c r="M48" i="7"/>
  <c r="AL47" i="7"/>
  <c r="V47" i="7"/>
  <c r="F47" i="7"/>
  <c r="AE46" i="7"/>
  <c r="O46" i="7"/>
  <c r="AL44" i="7"/>
  <c r="V44" i="7"/>
  <c r="F44" i="7"/>
  <c r="AE43" i="7"/>
  <c r="AH44" i="7"/>
  <c r="R44" i="7"/>
  <c r="B44" i="7"/>
  <c r="AA43" i="7"/>
  <c r="AP50" i="7"/>
  <c r="AH50" i="7"/>
  <c r="Z50" i="7"/>
  <c r="R50" i="7"/>
  <c r="J50" i="7"/>
  <c r="B50" i="7"/>
  <c r="AI49" i="7"/>
  <c r="AA49" i="7"/>
  <c r="S49" i="7"/>
  <c r="H49" i="7"/>
  <c r="AG48" i="7"/>
  <c r="Q48" i="7"/>
  <c r="AP47" i="7"/>
  <c r="Z47" i="7"/>
  <c r="J47" i="7"/>
  <c r="AI46" i="7"/>
  <c r="S46" i="7"/>
  <c r="C46" i="7"/>
  <c r="AN50" i="7"/>
  <c r="AJ50" i="7"/>
  <c r="AF50" i="7"/>
  <c r="AB50" i="7"/>
  <c r="X50" i="7"/>
  <c r="T50" i="7"/>
  <c r="P50" i="7"/>
  <c r="L50" i="7"/>
  <c r="H50" i="7"/>
  <c r="D50" i="7"/>
  <c r="AO49" i="7"/>
  <c r="AK49" i="7"/>
  <c r="AG49" i="7"/>
  <c r="AC49" i="7"/>
  <c r="Y49" i="7"/>
  <c r="U49" i="7"/>
  <c r="Q49" i="7"/>
  <c r="M49" i="7"/>
  <c r="I49" i="7"/>
  <c r="E49" i="7"/>
  <c r="AP48" i="7"/>
  <c r="AL48" i="7"/>
  <c r="AH48" i="7"/>
  <c r="AD48" i="7"/>
  <c r="Z48" i="7"/>
  <c r="V48" i="7"/>
  <c r="R48" i="7"/>
  <c r="N48" i="7"/>
  <c r="J48" i="7"/>
  <c r="F48" i="7"/>
  <c r="B48" i="7"/>
  <c r="AM47" i="7"/>
  <c r="AI47" i="7"/>
  <c r="AE47" i="7"/>
  <c r="AA47" i="7"/>
  <c r="W47" i="7"/>
  <c r="S47" i="7"/>
  <c r="O47" i="7"/>
  <c r="K47" i="7"/>
  <c r="G47" i="7"/>
  <c r="C47" i="7"/>
  <c r="AN46" i="7"/>
  <c r="AJ46" i="7"/>
  <c r="AF46" i="7"/>
  <c r="AB46" i="7"/>
  <c r="X46" i="7"/>
  <c r="T46" i="7"/>
  <c r="P46" i="7"/>
  <c r="L46" i="7"/>
  <c r="H46" i="7"/>
  <c r="D46" i="7"/>
  <c r="K49" i="7"/>
  <c r="G49" i="7"/>
  <c r="C49" i="7"/>
  <c r="AN48" i="7"/>
  <c r="AJ48" i="7"/>
  <c r="AF48" i="7"/>
  <c r="AB48" i="7"/>
  <c r="X48" i="7"/>
  <c r="T48" i="7"/>
  <c r="P48" i="7"/>
  <c r="L48" i="7"/>
  <c r="H48" i="7"/>
  <c r="D48" i="7"/>
  <c r="AO47" i="7"/>
  <c r="AK47" i="7"/>
  <c r="AG47" i="7"/>
  <c r="AC47" i="7"/>
  <c r="Y47" i="7"/>
  <c r="U47" i="7"/>
  <c r="Q47" i="7"/>
  <c r="M47" i="7"/>
  <c r="I47" i="7"/>
  <c r="E47" i="7"/>
  <c r="AP46" i="7"/>
  <c r="AL46" i="7"/>
  <c r="AH46" i="7"/>
  <c r="AD46" i="7"/>
  <c r="Z46" i="7"/>
  <c r="V46" i="7"/>
  <c r="R46" i="7"/>
  <c r="N46" i="7"/>
  <c r="J46" i="7"/>
  <c r="F46" i="7"/>
  <c r="B46" i="7"/>
  <c r="AO50" i="7"/>
  <c r="AK50" i="7"/>
  <c r="AG50" i="7"/>
  <c r="AC50" i="7"/>
  <c r="Y50" i="7"/>
  <c r="U50" i="7"/>
  <c r="Q50" i="7"/>
  <c r="M50" i="7"/>
  <c r="I50" i="7"/>
  <c r="E50" i="7"/>
  <c r="AP49" i="7"/>
  <c r="AL49" i="7"/>
  <c r="AH49" i="7"/>
  <c r="AD49" i="7"/>
  <c r="Z49" i="7"/>
  <c r="V49" i="7"/>
  <c r="R49" i="7"/>
  <c r="N49" i="7"/>
  <c r="J49" i="7"/>
  <c r="F49" i="7"/>
  <c r="B49" i="7"/>
  <c r="AM48" i="7"/>
  <c r="AI48" i="7"/>
  <c r="AE48" i="7"/>
  <c r="AA48" i="7"/>
  <c r="W48" i="7"/>
  <c r="S48" i="7"/>
  <c r="O48" i="7"/>
  <c r="K48" i="7"/>
  <c r="G48" i="7"/>
  <c r="C48" i="7"/>
  <c r="AN47" i="7"/>
  <c r="AJ47" i="7"/>
  <c r="AF47" i="7"/>
  <c r="AB47" i="7"/>
  <c r="X47" i="7"/>
  <c r="T47" i="7"/>
  <c r="P47" i="7"/>
  <c r="L47" i="7"/>
  <c r="H47" i="7"/>
  <c r="D47" i="7"/>
  <c r="AO46" i="7"/>
  <c r="AK46" i="7"/>
  <c r="AG46" i="7"/>
  <c r="AC46" i="7"/>
  <c r="Y46" i="7"/>
  <c r="U46" i="7"/>
  <c r="Q46" i="7"/>
  <c r="M46" i="7"/>
  <c r="I46" i="7"/>
  <c r="O43" i="7"/>
  <c r="K43" i="7"/>
  <c r="G43" i="7"/>
  <c r="C43" i="7"/>
  <c r="AN42" i="7"/>
  <c r="AJ42" i="7"/>
  <c r="AF42" i="7"/>
  <c r="AB42" i="7"/>
  <c r="X42" i="7"/>
  <c r="T42" i="7"/>
  <c r="P42" i="7"/>
  <c r="L42" i="7"/>
  <c r="H42" i="7"/>
  <c r="D42" i="7"/>
  <c r="AO41" i="7"/>
  <c r="AK41" i="7"/>
  <c r="AG41" i="7"/>
  <c r="AC41" i="7"/>
  <c r="Y41" i="7"/>
  <c r="U41" i="7"/>
  <c r="Q41" i="7"/>
  <c r="M41" i="7"/>
  <c r="I41" i="7"/>
  <c r="E41" i="7"/>
  <c r="AK44" i="7"/>
  <c r="AC44" i="7"/>
  <c r="U44" i="7"/>
  <c r="M44" i="7"/>
  <c r="E44" i="7"/>
  <c r="AL43" i="7"/>
  <c r="AD43" i="7"/>
  <c r="V43" i="7"/>
  <c r="N43" i="7"/>
  <c r="F43" i="7"/>
  <c r="AM42" i="7"/>
  <c r="AE42" i="7"/>
  <c r="W42" i="7"/>
  <c r="O42" i="7"/>
  <c r="G42" i="7"/>
  <c r="AN41" i="7"/>
  <c r="AF41" i="7"/>
  <c r="X41" i="7"/>
  <c r="P41" i="7"/>
  <c r="H41" i="7"/>
  <c r="AN44" i="7"/>
  <c r="AJ44" i="7"/>
  <c r="AF44" i="7"/>
  <c r="AB44" i="7"/>
  <c r="X44" i="7"/>
  <c r="T44" i="7"/>
  <c r="P44" i="7"/>
  <c r="L44" i="7"/>
  <c r="H44" i="7"/>
  <c r="D44" i="7"/>
  <c r="AO43" i="7"/>
  <c r="AK43" i="7"/>
  <c r="AG43" i="7"/>
  <c r="AC43" i="7"/>
  <c r="Y43" i="7"/>
  <c r="U43" i="7"/>
  <c r="Q43" i="7"/>
  <c r="M43" i="7"/>
  <c r="I43" i="7"/>
  <c r="E43" i="7"/>
  <c r="AP42" i="7"/>
  <c r="AL42" i="7"/>
  <c r="AH42" i="7"/>
  <c r="AD42" i="7"/>
  <c r="Z42" i="7"/>
  <c r="V42" i="7"/>
  <c r="R42" i="7"/>
  <c r="N42" i="7"/>
  <c r="J42" i="7"/>
  <c r="F42" i="7"/>
  <c r="B42" i="7"/>
  <c r="AM41" i="7"/>
  <c r="AI41" i="7"/>
  <c r="AE41" i="7"/>
  <c r="AA41" i="7"/>
  <c r="W41" i="7"/>
  <c r="S41" i="7"/>
  <c r="O41" i="7"/>
  <c r="K41" i="7"/>
  <c r="G41" i="7"/>
  <c r="C41" i="7"/>
  <c r="AO44" i="7"/>
  <c r="AG44" i="7"/>
  <c r="Y44" i="7"/>
  <c r="Q44" i="7"/>
  <c r="I44" i="7"/>
  <c r="AP43" i="7"/>
  <c r="AH43" i="7"/>
  <c r="Z43" i="7"/>
  <c r="R43" i="7"/>
  <c r="J43" i="7"/>
  <c r="B43" i="7"/>
  <c r="AI42" i="7"/>
  <c r="AA42" i="7"/>
  <c r="S42" i="7"/>
  <c r="K42" i="7"/>
  <c r="C42" i="7"/>
  <c r="AJ41" i="7"/>
  <c r="AB41" i="7"/>
  <c r="T41" i="7"/>
  <c r="L41" i="7"/>
  <c r="D41" i="7"/>
  <c r="AM44" i="7"/>
  <c r="AI44" i="7"/>
  <c r="AE44" i="7"/>
  <c r="AA44" i="7"/>
  <c r="W44" i="7"/>
  <c r="S44" i="7"/>
  <c r="O44" i="7"/>
  <c r="K44" i="7"/>
  <c r="G44" i="7"/>
  <c r="C44" i="7"/>
  <c r="AN43" i="7"/>
  <c r="AJ43" i="7"/>
  <c r="AF43" i="7"/>
  <c r="AB43" i="7"/>
  <c r="X43" i="7"/>
  <c r="T43" i="7"/>
  <c r="P43" i="7"/>
  <c r="L43" i="7"/>
  <c r="H43" i="7"/>
  <c r="D43" i="7"/>
  <c r="AO42" i="7"/>
  <c r="AK42" i="7"/>
  <c r="AG42" i="7"/>
  <c r="AC42" i="7"/>
  <c r="Y42" i="7"/>
  <c r="U42" i="7"/>
  <c r="Q42" i="7"/>
  <c r="M42" i="7"/>
  <c r="I42" i="7"/>
  <c r="E42" i="7"/>
  <c r="AP41" i="7"/>
  <c r="AL41" i="7"/>
  <c r="AH41" i="7"/>
  <c r="AD41" i="7"/>
  <c r="Z41" i="7"/>
  <c r="V41" i="7"/>
  <c r="R41" i="7"/>
  <c r="N41" i="7"/>
  <c r="J41" i="7"/>
  <c r="F41" i="7"/>
  <c r="AG10" i="7"/>
  <c r="Q9" i="7"/>
  <c r="S10" i="7"/>
  <c r="B9" i="7"/>
  <c r="AF9" i="7"/>
  <c r="O8" i="7"/>
  <c r="D10" i="7"/>
  <c r="AD8" i="7"/>
  <c r="AE10" i="7"/>
  <c r="Q10" i="7"/>
  <c r="C10" i="7"/>
  <c r="AC9" i="7"/>
  <c r="P9" i="7"/>
  <c r="AP8" i="7"/>
  <c r="AA8" i="7"/>
  <c r="N8" i="7"/>
  <c r="AN10" i="7"/>
  <c r="Y10" i="7"/>
  <c r="L10" i="7"/>
  <c r="AL9" i="7"/>
  <c r="X9" i="7"/>
  <c r="J9" i="7"/>
  <c r="AK8" i="7"/>
  <c r="V8" i="7"/>
  <c r="I8" i="7"/>
  <c r="AM10" i="7"/>
  <c r="X10" i="7"/>
  <c r="I10" i="7"/>
  <c r="AK9" i="7"/>
  <c r="V9" i="7"/>
  <c r="H9" i="7"/>
  <c r="AI8" i="7"/>
  <c r="U8" i="7"/>
  <c r="F8" i="7"/>
  <c r="AJ10" i="7"/>
  <c r="AC10" i="7"/>
  <c r="W10" i="7"/>
  <c r="O10" i="7"/>
  <c r="H10" i="7"/>
  <c r="AP9" i="7"/>
  <c r="AH9" i="7"/>
  <c r="AB9" i="7"/>
  <c r="U9" i="7"/>
  <c r="M9" i="7"/>
  <c r="F9" i="7"/>
  <c r="AO8" i="7"/>
  <c r="AG8" i="7"/>
  <c r="Z8" i="7"/>
  <c r="S8" i="7"/>
  <c r="K8" i="7"/>
  <c r="E8" i="7"/>
  <c r="AO10" i="7"/>
  <c r="AI10" i="7"/>
  <c r="AB10" i="7"/>
  <c r="T10" i="7"/>
  <c r="M10" i="7"/>
  <c r="G10" i="7"/>
  <c r="AN9" i="7"/>
  <c r="AG9" i="7"/>
  <c r="Z9" i="7"/>
  <c r="R9" i="7"/>
  <c r="L9" i="7"/>
  <c r="E9" i="7"/>
  <c r="AL8" i="7"/>
  <c r="AE8" i="7"/>
  <c r="Y8" i="7"/>
  <c r="Q8" i="7"/>
  <c r="J8" i="7"/>
  <c r="C8" i="7"/>
  <c r="AK10" i="7"/>
  <c r="AF10" i="7"/>
  <c r="AA10" i="7"/>
  <c r="U10" i="7"/>
  <c r="P10" i="7"/>
  <c r="K10" i="7"/>
  <c r="E10" i="7"/>
  <c r="AO9" i="7"/>
  <c r="AJ9" i="7"/>
  <c r="AD9" i="7"/>
  <c r="Y9" i="7"/>
  <c r="T9" i="7"/>
  <c r="N9" i="7"/>
  <c r="I9" i="7"/>
  <c r="D9" i="7"/>
  <c r="AM8" i="7"/>
  <c r="AH8" i="7"/>
  <c r="AC8" i="7"/>
  <c r="W8" i="7"/>
  <c r="R8" i="7"/>
  <c r="M8" i="7"/>
  <c r="G8" i="7"/>
  <c r="B8" i="7"/>
  <c r="AP10" i="7"/>
  <c r="AL10" i="7"/>
  <c r="AH10" i="7"/>
  <c r="AD10" i="7"/>
  <c r="Z10" i="7"/>
  <c r="V10" i="7"/>
  <c r="R10" i="7"/>
  <c r="N10" i="7"/>
  <c r="J10" i="7"/>
  <c r="F10" i="7"/>
  <c r="B10" i="7"/>
  <c r="AM9" i="7"/>
  <c r="AI9" i="7"/>
  <c r="AE9" i="7"/>
  <c r="AA9" i="7"/>
  <c r="W9" i="7"/>
  <c r="S9" i="7"/>
  <c r="O9" i="7"/>
  <c r="K9" i="7"/>
  <c r="G9" i="7"/>
  <c r="C9" i="7"/>
  <c r="AN8" i="7"/>
  <c r="AJ8" i="7"/>
  <c r="AF8" i="7"/>
  <c r="AB8" i="7"/>
  <c r="X8" i="7"/>
  <c r="T8" i="7"/>
  <c r="P8" i="7"/>
  <c r="L8" i="7"/>
  <c r="H8" i="7"/>
  <c r="AN6" i="7"/>
  <c r="AJ6" i="7"/>
  <c r="AF6" i="7"/>
  <c r="AB6" i="7"/>
  <c r="X6" i="7"/>
  <c r="T6" i="7"/>
  <c r="P6" i="7"/>
  <c r="L6" i="7"/>
  <c r="H6" i="7"/>
  <c r="D6" i="7"/>
  <c r="AO5" i="7"/>
  <c r="AK5" i="7"/>
  <c r="AG5" i="7"/>
  <c r="AC5" i="7"/>
  <c r="Y5" i="7"/>
  <c r="U5" i="7"/>
  <c r="Q5" i="7"/>
  <c r="M5" i="7"/>
  <c r="I5" i="7"/>
  <c r="E5" i="7"/>
  <c r="AE6" i="7"/>
  <c r="S6" i="7"/>
  <c r="G6" i="7"/>
  <c r="AJ5" i="7"/>
  <c r="X5" i="7"/>
  <c r="L5" i="7"/>
  <c r="D5" i="7"/>
  <c r="AM6" i="7"/>
  <c r="AI6" i="7"/>
  <c r="AA6" i="7"/>
  <c r="W6" i="7"/>
  <c r="O6" i="7"/>
  <c r="K6" i="7"/>
  <c r="C6" i="7"/>
  <c r="AN5" i="7"/>
  <c r="AF5" i="7"/>
  <c r="AB5" i="7"/>
  <c r="T5" i="7"/>
  <c r="P5" i="7"/>
  <c r="H5" i="7"/>
  <c r="AP6" i="7"/>
  <c r="AL6" i="7"/>
  <c r="AH6" i="7"/>
  <c r="AD6" i="7"/>
  <c r="Z6" i="7"/>
  <c r="V6" i="7"/>
  <c r="R6" i="7"/>
  <c r="N6" i="7"/>
  <c r="J6" i="7"/>
  <c r="F6" i="7"/>
  <c r="B6" i="7"/>
  <c r="B7" i="7" s="1"/>
  <c r="AM5" i="7"/>
  <c r="AI5" i="7"/>
  <c r="AE5" i="7"/>
  <c r="AA5" i="7"/>
  <c r="W5" i="7"/>
  <c r="S5" i="7"/>
  <c r="O5" i="7"/>
  <c r="K5" i="7"/>
  <c r="G5" i="7"/>
  <c r="C5" i="7"/>
  <c r="AO6" i="7"/>
  <c r="AK6" i="7"/>
  <c r="AG6" i="7"/>
  <c r="AC6" i="7"/>
  <c r="Y6" i="7"/>
  <c r="U6" i="7"/>
  <c r="Q6" i="7"/>
  <c r="M6" i="7"/>
  <c r="I6" i="7"/>
  <c r="E6" i="7"/>
  <c r="AP5" i="7"/>
  <c r="AL5" i="7"/>
  <c r="AH5" i="7"/>
  <c r="AD5" i="7"/>
  <c r="Z5" i="7"/>
  <c r="V5" i="7"/>
  <c r="R5" i="7"/>
  <c r="N5" i="7"/>
  <c r="J5" i="7"/>
  <c r="F5" i="7"/>
  <c r="B180" i="7"/>
  <c r="B179" i="7"/>
  <c r="B150" i="7"/>
  <c r="B149" i="7"/>
  <c r="AF36" i="7" l="1"/>
  <c r="W36" i="7"/>
  <c r="Z36" i="7"/>
  <c r="J36" i="7"/>
  <c r="AL36" i="7"/>
  <c r="AI36" i="7"/>
  <c r="V36" i="7"/>
  <c r="AB670" i="7"/>
  <c r="Y670" i="7"/>
  <c r="G670" i="7"/>
  <c r="AE670" i="7"/>
  <c r="P670" i="7"/>
  <c r="P36" i="7"/>
  <c r="N36" i="7"/>
  <c r="L670" i="7"/>
  <c r="I670" i="7"/>
  <c r="AO670" i="7"/>
  <c r="W670" i="7"/>
  <c r="AF670" i="7"/>
  <c r="M670" i="7"/>
  <c r="J670" i="7"/>
  <c r="AD36" i="7"/>
  <c r="AA36" i="7"/>
  <c r="AA670" i="7"/>
  <c r="AN36" i="7"/>
  <c r="Y36" i="7"/>
  <c r="K36" i="7"/>
  <c r="AO36" i="7"/>
  <c r="D670" i="7"/>
  <c r="AJ670" i="7"/>
  <c r="AI670" i="7"/>
  <c r="O649" i="7"/>
  <c r="O645" i="7"/>
  <c r="O641" i="7"/>
  <c r="O637" i="7"/>
  <c r="O609" i="7"/>
  <c r="O604" i="7"/>
  <c r="AE645" i="7"/>
  <c r="AE641" i="7"/>
  <c r="AE637" i="7"/>
  <c r="AE609" i="7"/>
  <c r="AE604" i="7"/>
  <c r="AE649" i="7"/>
  <c r="T649" i="7"/>
  <c r="T645" i="7"/>
  <c r="T641" i="7"/>
  <c r="T637" i="7"/>
  <c r="T609" i="7"/>
  <c r="T604" i="7"/>
  <c r="AC649" i="7"/>
  <c r="AC645" i="7"/>
  <c r="AC641" i="7"/>
  <c r="AC637" i="7"/>
  <c r="AC609" i="7"/>
  <c r="AC604" i="7"/>
  <c r="AL649" i="7"/>
  <c r="AL645" i="7"/>
  <c r="AL641" i="7"/>
  <c r="AL637" i="7"/>
  <c r="AL609" i="7"/>
  <c r="AL604" i="7"/>
  <c r="C15" i="7"/>
  <c r="C649" i="7"/>
  <c r="C641" i="7"/>
  <c r="C609" i="7"/>
  <c r="C604" i="7"/>
  <c r="C645" i="7"/>
  <c r="C637" i="7"/>
  <c r="S649" i="7"/>
  <c r="S645" i="7"/>
  <c r="S641" i="7"/>
  <c r="S609" i="7"/>
  <c r="S637" i="7"/>
  <c r="S604" i="7"/>
  <c r="AI649" i="7"/>
  <c r="AI645" i="7"/>
  <c r="AI641" i="7"/>
  <c r="AI609" i="7"/>
  <c r="AI637" i="7"/>
  <c r="AI604" i="7"/>
  <c r="AB649" i="7"/>
  <c r="AB645" i="7"/>
  <c r="AB641" i="7"/>
  <c r="AB637" i="7"/>
  <c r="AB609" i="7"/>
  <c r="AB604" i="7"/>
  <c r="X649" i="7"/>
  <c r="X645" i="7"/>
  <c r="X641" i="7"/>
  <c r="X637" i="7"/>
  <c r="X609" i="7"/>
  <c r="X604" i="7"/>
  <c r="Q649" i="7"/>
  <c r="Q645" i="7"/>
  <c r="Q641" i="7"/>
  <c r="Q637" i="7"/>
  <c r="Q609" i="7"/>
  <c r="Q604" i="7"/>
  <c r="AG649" i="7"/>
  <c r="AG645" i="7"/>
  <c r="AG641" i="7"/>
  <c r="AG637" i="7"/>
  <c r="AG609" i="7"/>
  <c r="AG604" i="7"/>
  <c r="T36" i="7"/>
  <c r="AJ36" i="7"/>
  <c r="G36" i="7"/>
  <c r="AC36" i="7"/>
  <c r="Q36" i="7"/>
  <c r="E36" i="7"/>
  <c r="AG36" i="7"/>
  <c r="AK36" i="7"/>
  <c r="AC670" i="7"/>
  <c r="Z670" i="7"/>
  <c r="K670" i="7"/>
  <c r="AH649" i="7"/>
  <c r="AH645" i="7"/>
  <c r="AH641" i="7"/>
  <c r="AH637" i="7"/>
  <c r="AH609" i="7"/>
  <c r="AH604" i="7"/>
  <c r="M649" i="7"/>
  <c r="M645" i="7"/>
  <c r="M641" i="7"/>
  <c r="M637" i="7"/>
  <c r="M609" i="7"/>
  <c r="M604" i="7"/>
  <c r="F649" i="7"/>
  <c r="F645" i="7"/>
  <c r="F641" i="7"/>
  <c r="F637" i="7"/>
  <c r="F609" i="7"/>
  <c r="F604" i="7"/>
  <c r="G649" i="7"/>
  <c r="G645" i="7"/>
  <c r="G641" i="7"/>
  <c r="G637" i="7"/>
  <c r="G609" i="7"/>
  <c r="G604" i="7"/>
  <c r="U649" i="7"/>
  <c r="U645" i="7"/>
  <c r="U641" i="7"/>
  <c r="U637" i="7"/>
  <c r="U609" i="7"/>
  <c r="U604" i="7"/>
  <c r="X36" i="7"/>
  <c r="M36" i="7"/>
  <c r="AP36" i="7"/>
  <c r="O36" i="7"/>
  <c r="T670" i="7"/>
  <c r="Q670" i="7"/>
  <c r="AG670" i="7"/>
  <c r="N670" i="7"/>
  <c r="AD670" i="7"/>
  <c r="O670" i="7"/>
  <c r="R649" i="7"/>
  <c r="R645" i="7"/>
  <c r="R641" i="7"/>
  <c r="R637" i="7"/>
  <c r="R609" i="7"/>
  <c r="R604" i="7"/>
  <c r="L649" i="7"/>
  <c r="L645" i="7"/>
  <c r="L641" i="7"/>
  <c r="L637" i="7"/>
  <c r="L609" i="7"/>
  <c r="L604" i="7"/>
  <c r="V649" i="7"/>
  <c r="V645" i="7"/>
  <c r="V641" i="7"/>
  <c r="V637" i="7"/>
  <c r="V609" i="7"/>
  <c r="V604" i="7"/>
  <c r="J649" i="7"/>
  <c r="J645" i="7"/>
  <c r="J641" i="7"/>
  <c r="J637" i="7"/>
  <c r="J609" i="7"/>
  <c r="J604" i="7"/>
  <c r="Z649" i="7"/>
  <c r="Z645" i="7"/>
  <c r="Z641" i="7"/>
  <c r="Z637" i="7"/>
  <c r="Z609" i="7"/>
  <c r="Z604" i="7"/>
  <c r="AP649" i="7"/>
  <c r="AP645" i="7"/>
  <c r="AP641" i="7"/>
  <c r="AP637" i="7"/>
  <c r="AP609" i="7"/>
  <c r="AP604" i="7"/>
  <c r="W649" i="7"/>
  <c r="W645" i="7"/>
  <c r="W641" i="7"/>
  <c r="W637" i="7"/>
  <c r="W609" i="7"/>
  <c r="W604" i="7"/>
  <c r="AM649" i="7"/>
  <c r="AM645" i="7"/>
  <c r="AM641" i="7"/>
  <c r="AM637" i="7"/>
  <c r="AM609" i="7"/>
  <c r="AM604" i="7"/>
  <c r="H649" i="7"/>
  <c r="H645" i="7"/>
  <c r="H641" i="7"/>
  <c r="H637" i="7"/>
  <c r="H609" i="7"/>
  <c r="H604" i="7"/>
  <c r="AF649" i="7"/>
  <c r="AF645" i="7"/>
  <c r="AF641" i="7"/>
  <c r="AF637" i="7"/>
  <c r="AF609" i="7"/>
  <c r="AF604" i="7"/>
  <c r="AJ649" i="7"/>
  <c r="AJ645" i="7"/>
  <c r="AJ641" i="7"/>
  <c r="AJ637" i="7"/>
  <c r="AJ609" i="7"/>
  <c r="AJ604" i="7"/>
  <c r="E649" i="7"/>
  <c r="E645" i="7"/>
  <c r="E641" i="7"/>
  <c r="E637" i="7"/>
  <c r="E609" i="7"/>
  <c r="E604" i="7"/>
  <c r="AK649" i="7"/>
  <c r="AK645" i="7"/>
  <c r="AK641" i="7"/>
  <c r="AK637" i="7"/>
  <c r="AK609" i="7"/>
  <c r="AK604" i="7"/>
  <c r="H36" i="7"/>
  <c r="AH36" i="7"/>
  <c r="F36" i="7"/>
  <c r="N649" i="7"/>
  <c r="N645" i="7"/>
  <c r="N641" i="7"/>
  <c r="N637" i="7"/>
  <c r="N609" i="7"/>
  <c r="N604" i="7"/>
  <c r="AD649" i="7"/>
  <c r="AD645" i="7"/>
  <c r="AD641" i="7"/>
  <c r="AD637" i="7"/>
  <c r="AD609" i="7"/>
  <c r="AD604" i="7"/>
  <c r="K649" i="7"/>
  <c r="K645" i="7"/>
  <c r="K637" i="7"/>
  <c r="K641" i="7"/>
  <c r="K609" i="7"/>
  <c r="K604" i="7"/>
  <c r="AA649" i="7"/>
  <c r="AA641" i="7"/>
  <c r="AA637" i="7"/>
  <c r="AA604" i="7"/>
  <c r="AA645" i="7"/>
  <c r="AA609" i="7"/>
  <c r="P649" i="7"/>
  <c r="P645" i="7"/>
  <c r="P641" i="7"/>
  <c r="P637" i="7"/>
  <c r="P609" i="7"/>
  <c r="P604" i="7"/>
  <c r="AN649" i="7"/>
  <c r="AN645" i="7"/>
  <c r="AN641" i="7"/>
  <c r="AN637" i="7"/>
  <c r="AN609" i="7"/>
  <c r="AN604" i="7"/>
  <c r="D649" i="7"/>
  <c r="D645" i="7"/>
  <c r="D641" i="7"/>
  <c r="D637" i="7"/>
  <c r="D609" i="7"/>
  <c r="D604" i="7"/>
  <c r="I649" i="7"/>
  <c r="I645" i="7"/>
  <c r="I641" i="7"/>
  <c r="I637" i="7"/>
  <c r="I609" i="7"/>
  <c r="I604" i="7"/>
  <c r="Y649" i="7"/>
  <c r="Y645" i="7"/>
  <c r="Y641" i="7"/>
  <c r="Y637" i="7"/>
  <c r="Y609" i="7"/>
  <c r="Y604" i="7"/>
  <c r="AO649" i="7"/>
  <c r="AO645" i="7"/>
  <c r="AO641" i="7"/>
  <c r="AO637" i="7"/>
  <c r="AO609" i="7"/>
  <c r="AO604" i="7"/>
  <c r="L36" i="7"/>
  <c r="AB36" i="7"/>
  <c r="R36" i="7"/>
  <c r="AM36" i="7"/>
  <c r="C36" i="7"/>
  <c r="AE36" i="7"/>
  <c r="S36" i="7"/>
  <c r="U36" i="7"/>
  <c r="I36" i="7"/>
  <c r="H670" i="7"/>
  <c r="X670" i="7"/>
  <c r="AN670" i="7"/>
  <c r="E670" i="7"/>
  <c r="U670" i="7"/>
  <c r="AK670" i="7"/>
  <c r="B670" i="7"/>
  <c r="R670" i="7"/>
  <c r="AH670" i="7"/>
  <c r="C670" i="7"/>
  <c r="S670" i="7"/>
  <c r="AM670" i="7"/>
  <c r="D36" i="7"/>
  <c r="V193" i="7"/>
  <c r="S193" i="7"/>
  <c r="AB193" i="7"/>
  <c r="X193" i="7"/>
  <c r="AP193" i="7"/>
  <c r="G193" i="7"/>
  <c r="AM193" i="7"/>
  <c r="AF193" i="7"/>
  <c r="AJ193" i="7"/>
  <c r="E193" i="7"/>
  <c r="U193" i="7"/>
  <c r="AL193" i="7"/>
  <c r="J193" i="7"/>
  <c r="Z193" i="7"/>
  <c r="W193" i="7"/>
  <c r="H193" i="7"/>
  <c r="AK193" i="7"/>
  <c r="N193" i="7"/>
  <c r="AD193" i="7"/>
  <c r="K193" i="7"/>
  <c r="AA193" i="7"/>
  <c r="P193" i="7"/>
  <c r="AN193" i="7"/>
  <c r="D193" i="7"/>
  <c r="I193" i="7"/>
  <c r="Y193" i="7"/>
  <c r="AO193" i="7"/>
  <c r="F193" i="7"/>
  <c r="AI193" i="7"/>
  <c r="AG193" i="7"/>
  <c r="R193" i="7"/>
  <c r="AH193" i="7"/>
  <c r="O193" i="7"/>
  <c r="AE193" i="7"/>
  <c r="T193" i="7"/>
  <c r="L193" i="7"/>
  <c r="M193" i="7"/>
  <c r="AC193" i="7"/>
  <c r="C193" i="7"/>
  <c r="Q193" i="7"/>
  <c r="J15" i="7"/>
  <c r="J7" i="7"/>
  <c r="Z15" i="7"/>
  <c r="Z7" i="7"/>
  <c r="G7" i="7"/>
  <c r="G15" i="7"/>
  <c r="AM7" i="7"/>
  <c r="AM15" i="7"/>
  <c r="H7" i="7"/>
  <c r="H15" i="7"/>
  <c r="AF15" i="7"/>
  <c r="AF7" i="7"/>
  <c r="AJ15" i="7"/>
  <c r="AJ7" i="7"/>
  <c r="E15" i="7"/>
  <c r="E7" i="7"/>
  <c r="U15" i="7"/>
  <c r="U7" i="7"/>
  <c r="N15" i="7"/>
  <c r="N7" i="7"/>
  <c r="AD15" i="7"/>
  <c r="AD7" i="7"/>
  <c r="K15" i="7"/>
  <c r="K7" i="7"/>
  <c r="AA15" i="7"/>
  <c r="AA7" i="7"/>
  <c r="P15" i="7"/>
  <c r="P7" i="7"/>
  <c r="AN15" i="7"/>
  <c r="AN7" i="7"/>
  <c r="D15" i="7"/>
  <c r="D7" i="7"/>
  <c r="I15" i="7"/>
  <c r="I7" i="7"/>
  <c r="Y15" i="7"/>
  <c r="Y7" i="7"/>
  <c r="AO15" i="7"/>
  <c r="AO7" i="7"/>
  <c r="R15" i="7"/>
  <c r="R7" i="7"/>
  <c r="AH15" i="7"/>
  <c r="AH7" i="7"/>
  <c r="O15" i="7"/>
  <c r="O7" i="7"/>
  <c r="AE15" i="7"/>
  <c r="AE7" i="7"/>
  <c r="T15" i="7"/>
  <c r="T7" i="7"/>
  <c r="L7" i="7"/>
  <c r="L15" i="7"/>
  <c r="M15" i="7"/>
  <c r="M7" i="7"/>
  <c r="AC15" i="7"/>
  <c r="AC7" i="7"/>
  <c r="AP15" i="7"/>
  <c r="AP7" i="7"/>
  <c r="W7" i="7"/>
  <c r="W15" i="7"/>
  <c r="AK15" i="7"/>
  <c r="AK7" i="7"/>
  <c r="F15" i="7"/>
  <c r="F7" i="7"/>
  <c r="V15" i="7"/>
  <c r="V7" i="7"/>
  <c r="AL15" i="7"/>
  <c r="AL7" i="7"/>
  <c r="C7" i="7"/>
  <c r="S15" i="7"/>
  <c r="S7" i="7"/>
  <c r="AI7" i="7"/>
  <c r="AI15" i="7"/>
  <c r="AB15" i="7"/>
  <c r="AB7" i="7"/>
  <c r="X15" i="7"/>
  <c r="X7" i="7"/>
  <c r="Q15" i="7"/>
  <c r="Q7" i="7"/>
  <c r="AG15" i="7"/>
  <c r="AG7" i="7"/>
  <c r="C246" i="7" a="1"/>
  <c r="D246" i="7" s="1"/>
  <c r="AM246" i="7" l="1"/>
  <c r="AI246" i="7"/>
  <c r="AE246" i="7"/>
  <c r="AA246" i="7"/>
  <c r="W246" i="7"/>
  <c r="S246" i="7"/>
  <c r="O246" i="7"/>
  <c r="K246" i="7"/>
  <c r="G246" i="7"/>
  <c r="C246" i="7"/>
  <c r="AP246" i="7"/>
  <c r="AL246" i="7"/>
  <c r="AH246" i="7"/>
  <c r="AD246" i="7"/>
  <c r="Z246" i="7"/>
  <c r="V246" i="7"/>
  <c r="R246" i="7"/>
  <c r="N246" i="7"/>
  <c r="J246" i="7"/>
  <c r="F246" i="7"/>
  <c r="AO246" i="7"/>
  <c r="AK246" i="7"/>
  <c r="AG246" i="7"/>
  <c r="AC246" i="7"/>
  <c r="Y246" i="7"/>
  <c r="U246" i="7"/>
  <c r="Q246" i="7"/>
  <c r="M246" i="7"/>
  <c r="I246" i="7"/>
  <c r="E246" i="7"/>
  <c r="AN246" i="7"/>
  <c r="AJ246" i="7"/>
  <c r="AF246" i="7"/>
  <c r="AB246" i="7"/>
  <c r="X246" i="7"/>
  <c r="T246" i="7"/>
  <c r="P246" i="7"/>
  <c r="L246" i="7"/>
  <c r="H246" i="7"/>
  <c r="C227" i="7" a="1"/>
  <c r="D227" i="7" s="1"/>
  <c r="AO227" i="7" l="1"/>
  <c r="AK227" i="7"/>
  <c r="AG227" i="7"/>
  <c r="AC227" i="7"/>
  <c r="Y227" i="7"/>
  <c r="U227" i="7"/>
  <c r="Q227" i="7"/>
  <c r="M227" i="7"/>
  <c r="I227" i="7"/>
  <c r="E227" i="7"/>
  <c r="AM227" i="7"/>
  <c r="AI227" i="7"/>
  <c r="AE227" i="7"/>
  <c r="AA227" i="7"/>
  <c r="W227" i="7"/>
  <c r="S227" i="7"/>
  <c r="O227" i="7"/>
  <c r="K227" i="7"/>
  <c r="G227" i="7"/>
  <c r="C227" i="7"/>
  <c r="AP227" i="7"/>
  <c r="AL227" i="7"/>
  <c r="AH227" i="7"/>
  <c r="AD227" i="7"/>
  <c r="Z227" i="7"/>
  <c r="V227" i="7"/>
  <c r="R227" i="7"/>
  <c r="N227" i="7"/>
  <c r="J227" i="7"/>
  <c r="F227" i="7"/>
  <c r="AN227" i="7"/>
  <c r="AJ227" i="7"/>
  <c r="AF227" i="7"/>
  <c r="AB227" i="7"/>
  <c r="X227" i="7"/>
  <c r="T227" i="7"/>
  <c r="P227" i="7"/>
  <c r="L227" i="7"/>
  <c r="H227" i="7"/>
  <c r="A216" i="7"/>
  <c r="B164" i="7" l="1"/>
  <c r="B175" i="7"/>
  <c r="B176" i="7"/>
  <c r="B181" i="7"/>
  <c r="B177" i="7" l="1"/>
  <c r="M315" i="7"/>
  <c r="AP274" i="7" l="1"/>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AP306"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B143" i="7" l="1"/>
  <c r="B142" i="7"/>
  <c r="B141" i="7"/>
  <c r="B144" i="7"/>
  <c r="C131" i="7" a="1"/>
  <c r="C131" i="7" s="1"/>
  <c r="C132" i="7" s="1"/>
  <c r="C126" i="7" a="1"/>
  <c r="D126" i="7" s="1"/>
  <c r="B668" i="7"/>
  <c r="AP131" i="7" l="1"/>
  <c r="AP132" i="7" s="1"/>
  <c r="AL131" i="7"/>
  <c r="AL132" i="7" s="1"/>
  <c r="AH131" i="7"/>
  <c r="AH132" i="7" s="1"/>
  <c r="AD131" i="7"/>
  <c r="AD132" i="7" s="1"/>
  <c r="Z131" i="7"/>
  <c r="Z132" i="7" s="1"/>
  <c r="V131" i="7"/>
  <c r="V132" i="7" s="1"/>
  <c r="R131" i="7"/>
  <c r="R132" i="7" s="1"/>
  <c r="N131" i="7"/>
  <c r="N132" i="7" s="1"/>
  <c r="J131" i="7"/>
  <c r="J132" i="7" s="1"/>
  <c r="F131" i="7"/>
  <c r="F132" i="7" s="1"/>
  <c r="AO131" i="7"/>
  <c r="AO132" i="7" s="1"/>
  <c r="E131" i="7"/>
  <c r="E132" i="7" s="1"/>
  <c r="AK131" i="7"/>
  <c r="AK132" i="7" s="1"/>
  <c r="AG131" i="7"/>
  <c r="AG132" i="7" s="1"/>
  <c r="AC131" i="7"/>
  <c r="AC132" i="7" s="1"/>
  <c r="Y131" i="7"/>
  <c r="Y132" i="7" s="1"/>
  <c r="U131" i="7"/>
  <c r="U132" i="7" s="1"/>
  <c r="Q131" i="7"/>
  <c r="Q132" i="7" s="1"/>
  <c r="M131" i="7"/>
  <c r="M132" i="7" s="1"/>
  <c r="I131" i="7"/>
  <c r="I132" i="7" s="1"/>
  <c r="AN131" i="7"/>
  <c r="AN132" i="7" s="1"/>
  <c r="AJ131" i="7"/>
  <c r="AJ132" i="7" s="1"/>
  <c r="AF131" i="7"/>
  <c r="AF132" i="7" s="1"/>
  <c r="AB131" i="7"/>
  <c r="AB132" i="7" s="1"/>
  <c r="X131" i="7"/>
  <c r="X132" i="7" s="1"/>
  <c r="T131" i="7"/>
  <c r="T132" i="7" s="1"/>
  <c r="P131" i="7"/>
  <c r="P132" i="7" s="1"/>
  <c r="L131" i="7"/>
  <c r="L132" i="7" s="1"/>
  <c r="H131" i="7"/>
  <c r="H132" i="7" s="1"/>
  <c r="D131" i="7"/>
  <c r="D132" i="7" s="1"/>
  <c r="AM131" i="7"/>
  <c r="AM132" i="7" s="1"/>
  <c r="AI131" i="7"/>
  <c r="AI132" i="7" s="1"/>
  <c r="AE131" i="7"/>
  <c r="AE132" i="7" s="1"/>
  <c r="AA131" i="7"/>
  <c r="AA132" i="7" s="1"/>
  <c r="W131" i="7"/>
  <c r="W132" i="7" s="1"/>
  <c r="S131" i="7"/>
  <c r="S132" i="7" s="1"/>
  <c r="O131" i="7"/>
  <c r="O132" i="7" s="1"/>
  <c r="K131" i="7"/>
  <c r="K132" i="7" s="1"/>
  <c r="G131" i="7"/>
  <c r="G132" i="7" s="1"/>
  <c r="AO126" i="7"/>
  <c r="AK126" i="7"/>
  <c r="AG126" i="7"/>
  <c r="AC126" i="7"/>
  <c r="Y126" i="7"/>
  <c r="U126" i="7"/>
  <c r="Q126" i="7"/>
  <c r="M126" i="7"/>
  <c r="I126" i="7"/>
  <c r="E126" i="7"/>
  <c r="AM126" i="7"/>
  <c r="AI126" i="7"/>
  <c r="AE126" i="7"/>
  <c r="AA126" i="7"/>
  <c r="W126" i="7"/>
  <c r="S126" i="7"/>
  <c r="O126" i="7"/>
  <c r="K126" i="7"/>
  <c r="G126" i="7"/>
  <c r="C126" i="7"/>
  <c r="AP126" i="7"/>
  <c r="AL126" i="7"/>
  <c r="AH126" i="7"/>
  <c r="AD126" i="7"/>
  <c r="Z126" i="7"/>
  <c r="V126" i="7"/>
  <c r="R126" i="7"/>
  <c r="N126" i="7"/>
  <c r="J126" i="7"/>
  <c r="F126" i="7"/>
  <c r="AN126" i="7"/>
  <c r="AJ126" i="7"/>
  <c r="AF126" i="7"/>
  <c r="AB126" i="7"/>
  <c r="X126" i="7"/>
  <c r="T126" i="7"/>
  <c r="P126" i="7"/>
  <c r="L126" i="7"/>
  <c r="H126" i="7"/>
  <c r="B101" i="7"/>
  <c r="B94" i="7" l="1"/>
  <c r="AP658" i="7" l="1"/>
  <c r="B75" i="7" l="1"/>
  <c r="B73" i="7"/>
  <c r="B71" i="7"/>
  <c r="B66" i="7"/>
  <c r="B65" i="7"/>
  <c r="B364" i="7" l="1"/>
  <c r="AP114" i="7" l="1"/>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B127" i="7" l="1"/>
  <c r="C80" i="1" l="1"/>
  <c r="B88" i="7"/>
  <c r="C62" i="1" l="1"/>
  <c r="B139" i="7" l="1"/>
  <c r="B93" i="7"/>
  <c r="B72" i="7"/>
  <c r="C36" i="1"/>
  <c r="C63" i="1" l="1"/>
  <c r="C151" i="7" s="1"/>
  <c r="C2" i="7"/>
  <c r="C55" i="7" l="1"/>
  <c r="C663" i="7"/>
  <c r="C142" i="7" s="1"/>
  <c r="C23" i="7"/>
  <c r="C281" i="7" s="1"/>
  <c r="C57" i="7"/>
  <c r="C51" i="7"/>
  <c r="C657" i="7"/>
  <c r="C141" i="7" s="1"/>
  <c r="D2" i="7"/>
  <c r="P321" i="7"/>
  <c r="P320" i="7"/>
  <c r="P319" i="7"/>
  <c r="P318" i="7"/>
  <c r="P317" i="7"/>
  <c r="P457" i="7"/>
  <c r="P456" i="7"/>
  <c r="P455" i="7"/>
  <c r="P454" i="7"/>
  <c r="P453" i="7"/>
  <c r="G457" i="7"/>
  <c r="G456" i="7"/>
  <c r="G455" i="7"/>
  <c r="G454" i="7"/>
  <c r="G453" i="7"/>
  <c r="G452" i="7"/>
  <c r="G321" i="7"/>
  <c r="G320" i="7"/>
  <c r="G319" i="7"/>
  <c r="G318" i="7"/>
  <c r="G317" i="7"/>
  <c r="G316" i="7"/>
  <c r="D55" i="7" l="1"/>
  <c r="C144" i="7"/>
  <c r="C234" i="7"/>
  <c r="C216" i="7"/>
  <c r="D663" i="7"/>
  <c r="D142" i="7" s="1"/>
  <c r="C252" i="7"/>
  <c r="C94" i="7"/>
  <c r="C127" i="7"/>
  <c r="C128" i="7" s="1"/>
  <c r="C164" i="7"/>
  <c r="D51" i="7"/>
  <c r="D57" i="7"/>
  <c r="C97" i="7"/>
  <c r="E2" i="7"/>
  <c r="C135" i="1"/>
  <c r="B321" i="7" s="1"/>
  <c r="E55" i="7" l="1"/>
  <c r="D144" i="7"/>
  <c r="D216" i="7"/>
  <c r="D234" i="7"/>
  <c r="E663" i="7"/>
  <c r="E142" i="7" s="1"/>
  <c r="E57" i="7"/>
  <c r="E51" i="7"/>
  <c r="D97" i="7"/>
  <c r="F2" i="7"/>
  <c r="B498" i="7"/>
  <c r="B497" i="7"/>
  <c r="C490" i="7" a="1"/>
  <c r="D490" i="7" s="1"/>
  <c r="M457" i="7"/>
  <c r="M456" i="7"/>
  <c r="B457" i="7"/>
  <c r="B362" i="7"/>
  <c r="B361" i="7"/>
  <c r="C354" i="7" a="1"/>
  <c r="D354" i="7" s="1"/>
  <c r="B354" i="7"/>
  <c r="B353" i="7"/>
  <c r="M321" i="7"/>
  <c r="M320" i="7"/>
  <c r="B320" i="7"/>
  <c r="F55" i="7" l="1"/>
  <c r="E144" i="7"/>
  <c r="E216" i="7"/>
  <c r="E234" i="7"/>
  <c r="F663" i="7"/>
  <c r="F142" i="7" s="1"/>
  <c r="F57" i="7"/>
  <c r="F51" i="7"/>
  <c r="E97" i="7"/>
  <c r="G2" i="7"/>
  <c r="AM490" i="7"/>
  <c r="AI490" i="7"/>
  <c r="AE490" i="7"/>
  <c r="AA490" i="7"/>
  <c r="W490" i="7"/>
  <c r="S490" i="7"/>
  <c r="O490" i="7"/>
  <c r="K490" i="7"/>
  <c r="G490" i="7"/>
  <c r="C490" i="7"/>
  <c r="AP490" i="7"/>
  <c r="AL490" i="7"/>
  <c r="AH490" i="7"/>
  <c r="AD490" i="7"/>
  <c r="Z490" i="7"/>
  <c r="V490" i="7"/>
  <c r="R490" i="7"/>
  <c r="N490" i="7"/>
  <c r="J490" i="7"/>
  <c r="F490" i="7"/>
  <c r="AO490" i="7"/>
  <c r="AK490" i="7"/>
  <c r="AG490" i="7"/>
  <c r="AC490" i="7"/>
  <c r="Y490" i="7"/>
  <c r="U490" i="7"/>
  <c r="Q490" i="7"/>
  <c r="M490" i="7"/>
  <c r="I490" i="7"/>
  <c r="E490" i="7"/>
  <c r="AN490" i="7"/>
  <c r="AJ490" i="7"/>
  <c r="AF490" i="7"/>
  <c r="AB490" i="7"/>
  <c r="X490" i="7"/>
  <c r="T490" i="7"/>
  <c r="P490" i="7"/>
  <c r="L490" i="7"/>
  <c r="H490" i="7"/>
  <c r="AO354" i="7"/>
  <c r="AK354" i="7"/>
  <c r="AG354" i="7"/>
  <c r="AC354" i="7"/>
  <c r="Y354" i="7"/>
  <c r="U354" i="7"/>
  <c r="Q354" i="7"/>
  <c r="M354" i="7"/>
  <c r="I354" i="7"/>
  <c r="E354" i="7"/>
  <c r="AM354" i="7"/>
  <c r="AI354" i="7"/>
  <c r="AE354" i="7"/>
  <c r="AA354" i="7"/>
  <c r="W354" i="7"/>
  <c r="S354" i="7"/>
  <c r="O354" i="7"/>
  <c r="K354" i="7"/>
  <c r="G354" i="7"/>
  <c r="C354" i="7"/>
  <c r="AP354" i="7"/>
  <c r="AL354" i="7"/>
  <c r="AH354" i="7"/>
  <c r="AD354" i="7"/>
  <c r="Z354" i="7"/>
  <c r="V354" i="7"/>
  <c r="R354" i="7"/>
  <c r="N354" i="7"/>
  <c r="J354" i="7"/>
  <c r="F354" i="7"/>
  <c r="AN354" i="7"/>
  <c r="AJ354" i="7"/>
  <c r="AF354" i="7"/>
  <c r="AB354" i="7"/>
  <c r="X354" i="7"/>
  <c r="T354" i="7"/>
  <c r="P354" i="7"/>
  <c r="L354" i="7"/>
  <c r="H354" i="7"/>
  <c r="C39" i="7" a="1"/>
  <c r="E39" i="7" s="1"/>
  <c r="G55" i="7" l="1"/>
  <c r="F144" i="7"/>
  <c r="F216" i="7"/>
  <c r="F234" i="7"/>
  <c r="G663" i="7"/>
  <c r="G142" i="7" s="1"/>
  <c r="G57" i="7"/>
  <c r="G51" i="7"/>
  <c r="F97" i="7"/>
  <c r="H2" i="7"/>
  <c r="B490" i="7" a="1"/>
  <c r="B490" i="7" s="1"/>
  <c r="AM39" i="7"/>
  <c r="AH39" i="7"/>
  <c r="AB39" i="7"/>
  <c r="W39" i="7"/>
  <c r="R39" i="7"/>
  <c r="L39" i="7"/>
  <c r="G39" i="7"/>
  <c r="AL39" i="7"/>
  <c r="AF39" i="7"/>
  <c r="AA39" i="7"/>
  <c r="V39" i="7"/>
  <c r="P39" i="7"/>
  <c r="K39" i="7"/>
  <c r="F39" i="7"/>
  <c r="AP39" i="7"/>
  <c r="AJ39" i="7"/>
  <c r="AE39" i="7"/>
  <c r="Z39" i="7"/>
  <c r="T39" i="7"/>
  <c r="O39" i="7"/>
  <c r="J39" i="7"/>
  <c r="D39" i="7"/>
  <c r="AN39" i="7"/>
  <c r="AI39" i="7"/>
  <c r="AD39" i="7"/>
  <c r="X39" i="7"/>
  <c r="S39" i="7"/>
  <c r="N39" i="7"/>
  <c r="H39" i="7"/>
  <c r="C39" i="7"/>
  <c r="AO39" i="7"/>
  <c r="AK39" i="7"/>
  <c r="AG39" i="7"/>
  <c r="AC39" i="7"/>
  <c r="Y39" i="7"/>
  <c r="U39" i="7"/>
  <c r="Q39" i="7"/>
  <c r="M39" i="7"/>
  <c r="I39" i="7"/>
  <c r="H55" i="7" l="1"/>
  <c r="G144" i="7"/>
  <c r="G216" i="7"/>
  <c r="G234" i="7"/>
  <c r="H663" i="7"/>
  <c r="H142" i="7" s="1"/>
  <c r="H51" i="7"/>
  <c r="H57" i="7"/>
  <c r="G97" i="7"/>
  <c r="I2" i="7"/>
  <c r="I55" i="7" l="1"/>
  <c r="H144" i="7"/>
  <c r="H216" i="7"/>
  <c r="H234" i="7"/>
  <c r="I663" i="7"/>
  <c r="I142" i="7" s="1"/>
  <c r="I57" i="7"/>
  <c r="I51" i="7"/>
  <c r="H97" i="7"/>
  <c r="J2" i="7"/>
  <c r="J55" i="7" l="1"/>
  <c r="I144" i="7"/>
  <c r="I216" i="7"/>
  <c r="I234" i="7"/>
  <c r="J663" i="7"/>
  <c r="J142" i="7" s="1"/>
  <c r="J57" i="7"/>
  <c r="J51" i="7"/>
  <c r="I97" i="7"/>
  <c r="K2" i="7"/>
  <c r="K55" i="7" l="1"/>
  <c r="J144" i="7"/>
  <c r="J216" i="7"/>
  <c r="J234" i="7"/>
  <c r="K663" i="7"/>
  <c r="K142" i="7" s="1"/>
  <c r="K57" i="7"/>
  <c r="K51" i="7"/>
  <c r="J97" i="7"/>
  <c r="L2" i="7"/>
  <c r="L55" i="7" l="1"/>
  <c r="K144" i="7"/>
  <c r="K216" i="7"/>
  <c r="K234" i="7"/>
  <c r="L663" i="7"/>
  <c r="L142" i="7" s="1"/>
  <c r="L51" i="7"/>
  <c r="L57" i="7"/>
  <c r="K97" i="7"/>
  <c r="M2" i="7"/>
  <c r="M55" i="7" l="1"/>
  <c r="L144" i="7"/>
  <c r="L216" i="7"/>
  <c r="L234" i="7"/>
  <c r="M663" i="7"/>
  <c r="M142" i="7" s="1"/>
  <c r="M57" i="7"/>
  <c r="M51" i="7"/>
  <c r="L97" i="7"/>
  <c r="N2" i="7"/>
  <c r="C308" i="7" a="1"/>
  <c r="E308" i="7" s="1"/>
  <c r="C276" i="7" a="1"/>
  <c r="C276" i="7" s="1"/>
  <c r="N55" i="7" l="1"/>
  <c r="M144" i="7"/>
  <c r="M216" i="7"/>
  <c r="M234" i="7"/>
  <c r="N663" i="7"/>
  <c r="N142" i="7" s="1"/>
  <c r="N57" i="7"/>
  <c r="N51" i="7"/>
  <c r="M97" i="7"/>
  <c r="O2" i="7"/>
  <c r="K308" i="7"/>
  <c r="W308" i="7"/>
  <c r="L308" i="7"/>
  <c r="AB308" i="7"/>
  <c r="D308" i="7"/>
  <c r="AM308" i="7"/>
  <c r="R308" i="7"/>
  <c r="G308" i="7"/>
  <c r="AH308" i="7"/>
  <c r="P308" i="7"/>
  <c r="F308" i="7"/>
  <c r="AL308" i="7"/>
  <c r="AF308" i="7"/>
  <c r="AA308" i="7"/>
  <c r="V308" i="7"/>
  <c r="AO276" i="7"/>
  <c r="AK276" i="7"/>
  <c r="AG276" i="7"/>
  <c r="AC276" i="7"/>
  <c r="Y276" i="7"/>
  <c r="U276" i="7"/>
  <c r="Q276" i="7"/>
  <c r="M276" i="7"/>
  <c r="I276" i="7"/>
  <c r="E276" i="7"/>
  <c r="AP308" i="7"/>
  <c r="AJ308" i="7"/>
  <c r="AE308" i="7"/>
  <c r="Z308" i="7"/>
  <c r="T308" i="7"/>
  <c r="O308" i="7"/>
  <c r="J308" i="7"/>
  <c r="AN276" i="7"/>
  <c r="AJ276" i="7"/>
  <c r="AF276" i="7"/>
  <c r="AB276" i="7"/>
  <c r="X276" i="7"/>
  <c r="T276" i="7"/>
  <c r="P276" i="7"/>
  <c r="L276" i="7"/>
  <c r="H276" i="7"/>
  <c r="D276" i="7"/>
  <c r="AN308" i="7"/>
  <c r="AI308" i="7"/>
  <c r="AD308" i="7"/>
  <c r="X308" i="7"/>
  <c r="S308" i="7"/>
  <c r="N308" i="7"/>
  <c r="H308" i="7"/>
  <c r="C308" i="7"/>
  <c r="AP276" i="7"/>
  <c r="AL276" i="7"/>
  <c r="AH276" i="7"/>
  <c r="AD276" i="7"/>
  <c r="Z276" i="7"/>
  <c r="V276" i="7"/>
  <c r="R276" i="7"/>
  <c r="N276" i="7"/>
  <c r="J276" i="7"/>
  <c r="F276" i="7"/>
  <c r="AM276" i="7"/>
  <c r="AI276" i="7"/>
  <c r="AE276" i="7"/>
  <c r="AA276" i="7"/>
  <c r="W276" i="7"/>
  <c r="S276" i="7"/>
  <c r="O276" i="7"/>
  <c r="K276" i="7"/>
  <c r="G276" i="7"/>
  <c r="AO308" i="7"/>
  <c r="AK308" i="7"/>
  <c r="AG308" i="7"/>
  <c r="AC308" i="7"/>
  <c r="Y308" i="7"/>
  <c r="U308" i="7"/>
  <c r="Q308" i="7"/>
  <c r="M308" i="7"/>
  <c r="I308" i="7"/>
  <c r="O55" i="7" l="1"/>
  <c r="N144" i="7"/>
  <c r="N216" i="7"/>
  <c r="N234" i="7"/>
  <c r="C213" i="7"/>
  <c r="C231" i="7"/>
  <c r="O663" i="7"/>
  <c r="O142" i="7" s="1"/>
  <c r="O57" i="7"/>
  <c r="O51" i="7"/>
  <c r="N97" i="7"/>
  <c r="P2" i="7"/>
  <c r="V213" i="7"/>
  <c r="AG213" i="7"/>
  <c r="M213" i="7"/>
  <c r="AO213" i="7"/>
  <c r="AD213" i="7"/>
  <c r="U213" i="7"/>
  <c r="I213" i="7"/>
  <c r="AL213" i="7"/>
  <c r="AC213" i="7"/>
  <c r="Q213" i="7"/>
  <c r="F213" i="7"/>
  <c r="AK213" i="7"/>
  <c r="Y213" i="7"/>
  <c r="N213" i="7"/>
  <c r="E213" i="7"/>
  <c r="AP213" i="7"/>
  <c r="AH213" i="7"/>
  <c r="Z213" i="7"/>
  <c r="R213" i="7"/>
  <c r="J213" i="7"/>
  <c r="AN213" i="7"/>
  <c r="AJ213" i="7"/>
  <c r="AF213" i="7"/>
  <c r="AB213" i="7"/>
  <c r="X213" i="7"/>
  <c r="T213" i="7"/>
  <c r="P213" i="7"/>
  <c r="L213" i="7"/>
  <c r="H213" i="7"/>
  <c r="D213" i="7"/>
  <c r="AM213" i="7"/>
  <c r="AI213" i="7"/>
  <c r="AE213" i="7"/>
  <c r="AA213" i="7"/>
  <c r="W213" i="7"/>
  <c r="S213" i="7"/>
  <c r="O213" i="7"/>
  <c r="K213" i="7"/>
  <c r="G213" i="7"/>
  <c r="P55" i="7" l="1"/>
  <c r="O144" i="7"/>
  <c r="O216" i="7"/>
  <c r="O234" i="7"/>
  <c r="AM231" i="7"/>
  <c r="Y231" i="7"/>
  <c r="I231" i="7"/>
  <c r="AJ231" i="7"/>
  <c r="G231" i="7"/>
  <c r="P231" i="7"/>
  <c r="AF231" i="7"/>
  <c r="R231" i="7"/>
  <c r="AL231" i="7"/>
  <c r="AA231" i="7"/>
  <c r="T231" i="7"/>
  <c r="Z231" i="7"/>
  <c r="F231" i="7"/>
  <c r="X231" i="7"/>
  <c r="W231" i="7"/>
  <c r="K231" i="7"/>
  <c r="D231" i="7"/>
  <c r="AK231" i="7"/>
  <c r="U231" i="7"/>
  <c r="O231" i="7"/>
  <c r="AE231" i="7"/>
  <c r="H231" i="7"/>
  <c r="AN231" i="7"/>
  <c r="AH231" i="7"/>
  <c r="E231" i="7"/>
  <c r="Q231" i="7"/>
  <c r="AD231" i="7"/>
  <c r="AG231" i="7"/>
  <c r="S231" i="7"/>
  <c r="AI231" i="7"/>
  <c r="L231" i="7"/>
  <c r="AB231" i="7"/>
  <c r="J231" i="7"/>
  <c r="AP231" i="7"/>
  <c r="N231" i="7"/>
  <c r="AC231" i="7"/>
  <c r="AO231" i="7"/>
  <c r="M231" i="7"/>
  <c r="V231" i="7"/>
  <c r="P663" i="7"/>
  <c r="P142" i="7" s="1"/>
  <c r="P57" i="7"/>
  <c r="P51" i="7"/>
  <c r="O97" i="7"/>
  <c r="Q2" i="7"/>
  <c r="AJ192" i="7"/>
  <c r="G192" i="7"/>
  <c r="AM192" i="7"/>
  <c r="P192" i="7"/>
  <c r="AF192" i="7"/>
  <c r="R192" i="7"/>
  <c r="Y192" i="7"/>
  <c r="AL192" i="7"/>
  <c r="K192" i="7"/>
  <c r="D192" i="7"/>
  <c r="T192" i="7"/>
  <c r="Z192" i="7"/>
  <c r="AK192" i="7"/>
  <c r="O192" i="7"/>
  <c r="H192" i="7"/>
  <c r="AN192" i="7"/>
  <c r="E192" i="7"/>
  <c r="Q192" i="7"/>
  <c r="AD192" i="7"/>
  <c r="AG192" i="7"/>
  <c r="W192" i="7"/>
  <c r="I192" i="7"/>
  <c r="AA192" i="7"/>
  <c r="F192" i="7"/>
  <c r="U192" i="7"/>
  <c r="AE192" i="7"/>
  <c r="X192" i="7"/>
  <c r="AH192" i="7"/>
  <c r="S192" i="7"/>
  <c r="AI192" i="7"/>
  <c r="L192" i="7"/>
  <c r="AB192" i="7"/>
  <c r="J192" i="7"/>
  <c r="AP192" i="7"/>
  <c r="N192" i="7"/>
  <c r="AC192" i="7"/>
  <c r="AO192" i="7"/>
  <c r="M192" i="7"/>
  <c r="V192" i="7"/>
  <c r="D137" i="1"/>
  <c r="Q55" i="7" l="1"/>
  <c r="P144" i="7"/>
  <c r="P216" i="7"/>
  <c r="P234" i="7"/>
  <c r="Q663" i="7"/>
  <c r="Q142" i="7" s="1"/>
  <c r="Q57" i="7"/>
  <c r="Q51" i="7"/>
  <c r="P97" i="7"/>
  <c r="R2" i="7"/>
  <c r="E137" i="1"/>
  <c r="R55" i="7" l="1"/>
  <c r="Q144" i="7"/>
  <c r="Q216" i="7"/>
  <c r="Q234" i="7"/>
  <c r="R663" i="7"/>
  <c r="R142" i="7" s="1"/>
  <c r="R57" i="7"/>
  <c r="R51" i="7"/>
  <c r="Q97" i="7"/>
  <c r="S2" i="7"/>
  <c r="F137" i="1"/>
  <c r="S55" i="7" l="1"/>
  <c r="R144" i="7"/>
  <c r="R216" i="7"/>
  <c r="R234" i="7"/>
  <c r="S663" i="7"/>
  <c r="S142" i="7" s="1"/>
  <c r="S57" i="7"/>
  <c r="S51" i="7"/>
  <c r="R97" i="7"/>
  <c r="T2" i="7"/>
  <c r="G137" i="1"/>
  <c r="T55" i="7" l="1"/>
  <c r="H137" i="1"/>
  <c r="I137" i="1" s="1"/>
  <c r="S144" i="7"/>
  <c r="S216" i="7"/>
  <c r="S234" i="7"/>
  <c r="T663" i="7"/>
  <c r="T142" i="7" s="1"/>
  <c r="T51" i="7"/>
  <c r="T57" i="7"/>
  <c r="S97" i="7"/>
  <c r="U2" i="7"/>
  <c r="U55" i="7" l="1"/>
  <c r="T144" i="7"/>
  <c r="T216" i="7"/>
  <c r="T234" i="7"/>
  <c r="U663" i="7"/>
  <c r="U142" i="7" s="1"/>
  <c r="U57" i="7"/>
  <c r="U51" i="7"/>
  <c r="T97" i="7"/>
  <c r="V2" i="7"/>
  <c r="J137" i="1"/>
  <c r="M451" i="7"/>
  <c r="B478" i="7"/>
  <c r="B477" i="7"/>
  <c r="B475" i="7"/>
  <c r="B339" i="7"/>
  <c r="B472" i="7"/>
  <c r="B471" i="7"/>
  <c r="B470" i="7"/>
  <c r="B469" i="7"/>
  <c r="B336" i="7"/>
  <c r="B335" i="7"/>
  <c r="B334" i="7"/>
  <c r="B342" i="7"/>
  <c r="B341" i="7"/>
  <c r="V55" i="7" l="1"/>
  <c r="U144" i="7"/>
  <c r="U216" i="7"/>
  <c r="U234" i="7"/>
  <c r="V663" i="7"/>
  <c r="V142" i="7" s="1"/>
  <c r="V57" i="7"/>
  <c r="V51" i="7"/>
  <c r="U97" i="7"/>
  <c r="W2" i="7"/>
  <c r="K137" i="1"/>
  <c r="F9" i="1"/>
  <c r="W55" i="7" l="1"/>
  <c r="V144" i="7"/>
  <c r="V216" i="7"/>
  <c r="V234" i="7"/>
  <c r="W663" i="7"/>
  <c r="W142" i="7" s="1"/>
  <c r="W57" i="7"/>
  <c r="W51" i="7"/>
  <c r="V97" i="7"/>
  <c r="X2" i="7"/>
  <c r="L137" i="1"/>
  <c r="B676" i="7"/>
  <c r="B98" i="7"/>
  <c r="X55" i="7" l="1"/>
  <c r="W144" i="7"/>
  <c r="W216" i="7"/>
  <c r="W234" i="7"/>
  <c r="X663" i="7"/>
  <c r="X142" i="7" s="1"/>
  <c r="X51" i="7"/>
  <c r="X57" i="7"/>
  <c r="W97" i="7"/>
  <c r="Y2" i="7"/>
  <c r="M137" i="1"/>
  <c r="F10" i="1"/>
  <c r="Y55" i="7" l="1"/>
  <c r="X144" i="7"/>
  <c r="X216" i="7"/>
  <c r="X234" i="7"/>
  <c r="Y663" i="7"/>
  <c r="Y142" i="7" s="1"/>
  <c r="Y57" i="7"/>
  <c r="Y51" i="7"/>
  <c r="X97" i="7"/>
  <c r="Z2" i="7"/>
  <c r="N137" i="1"/>
  <c r="G74" i="1"/>
  <c r="G73" i="1"/>
  <c r="G72" i="1"/>
  <c r="G71" i="1"/>
  <c r="G70" i="1"/>
  <c r="Z55" i="7" l="1"/>
  <c r="Y144" i="7"/>
  <c r="Y216" i="7"/>
  <c r="Y234" i="7"/>
  <c r="Z663" i="7"/>
  <c r="Z142" i="7" s="1"/>
  <c r="Z57" i="7"/>
  <c r="Z51" i="7"/>
  <c r="Y97" i="7"/>
  <c r="AA2" i="7"/>
  <c r="O137" i="1"/>
  <c r="B455" i="7"/>
  <c r="B454" i="7"/>
  <c r="B319" i="7"/>
  <c r="B318" i="7"/>
  <c r="B452" i="7"/>
  <c r="B317" i="7"/>
  <c r="B451" i="7"/>
  <c r="B316" i="7"/>
  <c r="B315" i="7"/>
  <c r="B453" i="7"/>
  <c r="B456" i="7"/>
  <c r="C134" i="1"/>
  <c r="H70" i="1"/>
  <c r="I70" i="1" s="1"/>
  <c r="H72" i="1"/>
  <c r="I72" i="1" s="1"/>
  <c r="H73" i="1"/>
  <c r="I73" i="1" s="1"/>
  <c r="H74" i="1"/>
  <c r="I74" i="1" s="1"/>
  <c r="H71" i="1"/>
  <c r="I71" i="1" s="1"/>
  <c r="G75" i="1"/>
  <c r="AA55" i="7" l="1"/>
  <c r="Z144" i="7"/>
  <c r="Z216" i="7"/>
  <c r="Z234" i="7"/>
  <c r="AA668" i="7"/>
  <c r="AA656" i="7"/>
  <c r="AA57" i="7"/>
  <c r="AA51" i="7"/>
  <c r="Z97" i="7"/>
  <c r="AB2" i="7"/>
  <c r="B322" i="7"/>
  <c r="B458" i="7"/>
  <c r="P137" i="1"/>
  <c r="H75" i="1"/>
  <c r="I75" i="1"/>
  <c r="C43" i="1"/>
  <c r="AB55" i="7" l="1"/>
  <c r="AB24" i="7"/>
  <c r="B208" i="7"/>
  <c r="B209" i="7" s="1"/>
  <c r="B207" i="7"/>
  <c r="AB26" i="7"/>
  <c r="B74" i="7"/>
  <c r="B76" i="7" s="1"/>
  <c r="B67" i="7"/>
  <c r="B68" i="7" s="1"/>
  <c r="B92" i="7" s="1"/>
  <c r="AA144" i="7"/>
  <c r="AA216" i="7"/>
  <c r="AA234" i="7"/>
  <c r="AB656" i="7"/>
  <c r="AB668" i="7"/>
  <c r="AB770" i="7"/>
  <c r="AB663" i="7"/>
  <c r="AB142" i="7" s="1"/>
  <c r="AB57" i="7"/>
  <c r="AB51" i="7"/>
  <c r="AC2" i="7"/>
  <c r="Q137" i="1"/>
  <c r="B356" i="7"/>
  <c r="G42" i="4"/>
  <c r="G3" i="4"/>
  <c r="AC55" i="7" l="1"/>
  <c r="AC24" i="7"/>
  <c r="AC26" i="7"/>
  <c r="F19" i="1"/>
  <c r="B79" i="7"/>
  <c r="B161" i="7"/>
  <c r="C317" i="7"/>
  <c r="C315" i="7"/>
  <c r="C316" i="7"/>
  <c r="B91" i="7"/>
  <c r="B126" i="7"/>
  <c r="B128" i="7" s="1"/>
  <c r="C454" i="7"/>
  <c r="C452" i="7"/>
  <c r="C321" i="7"/>
  <c r="C319" i="7"/>
  <c r="B131" i="7"/>
  <c r="C457" i="7"/>
  <c r="C456" i="7"/>
  <c r="C455" i="7"/>
  <c r="C453" i="7"/>
  <c r="C451" i="7"/>
  <c r="C320" i="7"/>
  <c r="C318" i="7"/>
  <c r="AB144" i="7"/>
  <c r="AB216" i="7"/>
  <c r="AB234" i="7"/>
  <c r="AB87" i="7"/>
  <c r="AB233" i="7"/>
  <c r="AB215" i="7"/>
  <c r="AC656" i="7"/>
  <c r="AC668" i="7"/>
  <c r="AC770" i="7"/>
  <c r="AC663" i="7"/>
  <c r="AC142" i="7" s="1"/>
  <c r="AC57" i="7"/>
  <c r="AC51" i="7"/>
  <c r="AB97" i="7"/>
  <c r="AD2" i="7"/>
  <c r="R137" i="1"/>
  <c r="C628" i="7"/>
  <c r="C629" i="7"/>
  <c r="C630" i="7"/>
  <c r="C631" i="7"/>
  <c r="C620" i="7"/>
  <c r="C621" i="7"/>
  <c r="C622" i="7"/>
  <c r="C623" i="7"/>
  <c r="AD55" i="7" l="1"/>
  <c r="AD24" i="7"/>
  <c r="AD26" i="7"/>
  <c r="C304" i="7"/>
  <c r="C272" i="7"/>
  <c r="C303" i="7"/>
  <c r="C271" i="7"/>
  <c r="C266" i="7"/>
  <c r="C298" i="7"/>
  <c r="C265" i="7"/>
  <c r="C297" i="7"/>
  <c r="C264" i="7"/>
  <c r="C296" i="7"/>
  <c r="C302" i="7"/>
  <c r="C270" i="7"/>
  <c r="C263" i="7"/>
  <c r="C295" i="7"/>
  <c r="C269" i="7"/>
  <c r="C301" i="7"/>
  <c r="AC144" i="7"/>
  <c r="AC216" i="7"/>
  <c r="AC234" i="7"/>
  <c r="AC87" i="7"/>
  <c r="AC233" i="7"/>
  <c r="AC215" i="7"/>
  <c r="AD656" i="7"/>
  <c r="AD668" i="7"/>
  <c r="AD770" i="7"/>
  <c r="AD663" i="7"/>
  <c r="AD142" i="7" s="1"/>
  <c r="B333" i="7"/>
  <c r="AD57" i="7"/>
  <c r="AD51" i="7"/>
  <c r="AC97" i="7"/>
  <c r="AE2" i="7"/>
  <c r="S137" i="1"/>
  <c r="B340" i="7"/>
  <c r="B343" i="7" s="1"/>
  <c r="E322" i="7" s="1"/>
  <c r="E321" i="7" s="1"/>
  <c r="B476" i="7"/>
  <c r="C624" i="7"/>
  <c r="C632" i="7"/>
  <c r="AE55" i="7" l="1"/>
  <c r="AE24" i="7"/>
  <c r="AE26" i="7"/>
  <c r="C267" i="7"/>
  <c r="B163" i="7"/>
  <c r="B80" i="7"/>
  <c r="C305" i="7"/>
  <c r="C273" i="7"/>
  <c r="AD87" i="7"/>
  <c r="AD215" i="7"/>
  <c r="AD233" i="7"/>
  <c r="C299" i="7"/>
  <c r="AD144" i="7"/>
  <c r="AD216" i="7"/>
  <c r="AD234" i="7"/>
  <c r="AE668" i="7"/>
  <c r="AE656" i="7"/>
  <c r="AE770" i="7"/>
  <c r="AE663" i="7"/>
  <c r="AE142" i="7" s="1"/>
  <c r="AE57" i="7"/>
  <c r="AE51" i="7"/>
  <c r="AD97" i="7"/>
  <c r="AF2" i="7"/>
  <c r="T137" i="1"/>
  <c r="C56" i="1"/>
  <c r="C51" i="1"/>
  <c r="C26" i="7" l="1"/>
  <c r="C56" i="7" s="1"/>
  <c r="D26" i="7"/>
  <c r="E26" i="7"/>
  <c r="F26" i="7"/>
  <c r="G26" i="7"/>
  <c r="H26" i="7"/>
  <c r="I26" i="7"/>
  <c r="J26" i="7"/>
  <c r="K26" i="7"/>
  <c r="L26" i="7"/>
  <c r="M26" i="7"/>
  <c r="N26" i="7"/>
  <c r="O26" i="7"/>
  <c r="P26" i="7"/>
  <c r="Q26" i="7"/>
  <c r="R26" i="7"/>
  <c r="S26" i="7"/>
  <c r="T26" i="7"/>
  <c r="U26" i="7"/>
  <c r="V26" i="7"/>
  <c r="W26" i="7"/>
  <c r="X26" i="7"/>
  <c r="Y26" i="7"/>
  <c r="Z26" i="7"/>
  <c r="AA26" i="7"/>
  <c r="AF55" i="7"/>
  <c r="AF24" i="7"/>
  <c r="AF26" i="7"/>
  <c r="AE87" i="7"/>
  <c r="AE233" i="7"/>
  <c r="AE215" i="7"/>
  <c r="AE144" i="7"/>
  <c r="AE234" i="7"/>
  <c r="AE216" i="7"/>
  <c r="AF656" i="7"/>
  <c r="AF668" i="7"/>
  <c r="AF770" i="7"/>
  <c r="AF663" i="7"/>
  <c r="AF142" i="7" s="1"/>
  <c r="AF57" i="7"/>
  <c r="AF51" i="7"/>
  <c r="AE97" i="7"/>
  <c r="AG2" i="7"/>
  <c r="U137" i="1"/>
  <c r="B466" i="7"/>
  <c r="B465" i="7"/>
  <c r="B464" i="7"/>
  <c r="B463" i="7"/>
  <c r="B330" i="7"/>
  <c r="B329" i="7"/>
  <c r="B328" i="7"/>
  <c r="B327" i="7"/>
  <c r="AG55" i="7" l="1"/>
  <c r="AG24" i="7"/>
  <c r="AG26" i="7"/>
  <c r="AF144" i="7"/>
  <c r="AF216" i="7"/>
  <c r="AF234" i="7"/>
  <c r="AF87" i="7"/>
  <c r="AF233" i="7"/>
  <c r="AF215" i="7"/>
  <c r="AG668" i="7"/>
  <c r="AG656" i="7"/>
  <c r="AG770" i="7"/>
  <c r="AG663" i="7"/>
  <c r="AG142" i="7" s="1"/>
  <c r="AG57" i="7"/>
  <c r="AG51" i="7"/>
  <c r="AF97" i="7"/>
  <c r="AH2" i="7"/>
  <c r="V137" i="1"/>
  <c r="AH55" i="7" l="1"/>
  <c r="AH24" i="7"/>
  <c r="AH26" i="7"/>
  <c r="AG144" i="7"/>
  <c r="AG216" i="7"/>
  <c r="AG234" i="7"/>
  <c r="AG87" i="7"/>
  <c r="AG233" i="7"/>
  <c r="AG215" i="7"/>
  <c r="AH668" i="7"/>
  <c r="AH656" i="7"/>
  <c r="AH770" i="7"/>
  <c r="AH663" i="7"/>
  <c r="AH142" i="7" s="1"/>
  <c r="AH57" i="7"/>
  <c r="AH51" i="7"/>
  <c r="AG97" i="7"/>
  <c r="AI2" i="7"/>
  <c r="W137" i="1"/>
  <c r="C669" i="7"/>
  <c r="C607" i="7"/>
  <c r="C602" i="7"/>
  <c r="C648" i="7"/>
  <c r="C644" i="7"/>
  <c r="C640" i="7"/>
  <c r="C636" i="7"/>
  <c r="C33" i="7"/>
  <c r="C37" i="7"/>
  <c r="C30" i="7"/>
  <c r="C192" i="7"/>
  <c r="B199" i="7" s="1"/>
  <c r="C744" i="7"/>
  <c r="C712" i="7"/>
  <c r="C680" i="7"/>
  <c r="C58" i="7"/>
  <c r="AI55" i="7" l="1"/>
  <c r="AI24" i="7"/>
  <c r="AI26" i="7"/>
  <c r="AH144" i="7"/>
  <c r="AH216" i="7"/>
  <c r="AH234" i="7"/>
  <c r="AH87" i="7"/>
  <c r="AH233" i="7"/>
  <c r="AH215" i="7"/>
  <c r="AI668" i="7"/>
  <c r="AI656" i="7"/>
  <c r="AI770" i="7"/>
  <c r="AI663" i="7"/>
  <c r="AI142" i="7" s="1"/>
  <c r="AI57" i="7"/>
  <c r="AI51" i="7"/>
  <c r="AH97" i="7"/>
  <c r="AJ2" i="7"/>
  <c r="D56" i="7"/>
  <c r="X137" i="1"/>
  <c r="D669" i="7"/>
  <c r="D648" i="7"/>
  <c r="D644" i="7"/>
  <c r="D640" i="7"/>
  <c r="D636" i="7"/>
  <c r="D607" i="7"/>
  <c r="D602" i="7"/>
  <c r="D33" i="7"/>
  <c r="D37" i="7"/>
  <c r="D30" i="7"/>
  <c r="D744" i="7"/>
  <c r="D712" i="7"/>
  <c r="D680" i="7"/>
  <c r="D23" i="7"/>
  <c r="D281" i="7" s="1"/>
  <c r="D58" i="7"/>
  <c r="AJ55" i="7" l="1"/>
  <c r="AJ24" i="7"/>
  <c r="AJ26" i="7"/>
  <c r="AI144" i="7"/>
  <c r="AI234" i="7"/>
  <c r="AI216" i="7"/>
  <c r="AI87" i="7"/>
  <c r="AI215" i="7"/>
  <c r="AI233" i="7"/>
  <c r="AJ656" i="7"/>
  <c r="AJ668" i="7"/>
  <c r="AJ770" i="7"/>
  <c r="AJ663" i="7"/>
  <c r="AJ142" i="7" s="1"/>
  <c r="D252" i="7"/>
  <c r="D94" i="7"/>
  <c r="D127" i="7"/>
  <c r="D128" i="7" s="1"/>
  <c r="D164" i="7"/>
  <c r="AJ57" i="7"/>
  <c r="AJ51" i="7"/>
  <c r="AI97" i="7"/>
  <c r="AK2" i="7"/>
  <c r="E56" i="7"/>
  <c r="Y137" i="1"/>
  <c r="E669" i="7"/>
  <c r="E607" i="7"/>
  <c r="E602" i="7"/>
  <c r="E648" i="7"/>
  <c r="E644" i="7"/>
  <c r="E640" i="7"/>
  <c r="E636" i="7"/>
  <c r="E33" i="7"/>
  <c r="E37" i="7"/>
  <c r="E30" i="7"/>
  <c r="E744" i="7"/>
  <c r="E712" i="7"/>
  <c r="E680" i="7"/>
  <c r="E58" i="7"/>
  <c r="E23" i="7"/>
  <c r="E281" i="7" s="1"/>
  <c r="D83" i="1"/>
  <c r="D85" i="1"/>
  <c r="D84" i="1"/>
  <c r="AK55" i="7" l="1"/>
  <c r="AK24" i="7"/>
  <c r="AK26" i="7"/>
  <c r="AJ144" i="7"/>
  <c r="AJ216" i="7"/>
  <c r="AJ234" i="7"/>
  <c r="AJ87" i="7"/>
  <c r="AJ233" i="7"/>
  <c r="AJ215" i="7"/>
  <c r="AK656" i="7"/>
  <c r="AK668" i="7"/>
  <c r="AK770" i="7"/>
  <c r="AK663" i="7"/>
  <c r="AK142" i="7" s="1"/>
  <c r="E252" i="7"/>
  <c r="E94" i="7"/>
  <c r="E127" i="7"/>
  <c r="E128" i="7" s="1"/>
  <c r="E164" i="7"/>
  <c r="AK57" i="7"/>
  <c r="AK51" i="7"/>
  <c r="AJ97" i="7"/>
  <c r="AL2" i="7"/>
  <c r="F56" i="7"/>
  <c r="Z137" i="1"/>
  <c r="F669" i="7"/>
  <c r="F602" i="7"/>
  <c r="F648" i="7"/>
  <c r="F644" i="7"/>
  <c r="F640" i="7"/>
  <c r="F636" i="7"/>
  <c r="F607" i="7"/>
  <c r="F33" i="7"/>
  <c r="F37" i="7"/>
  <c r="F30" i="7"/>
  <c r="F712" i="7"/>
  <c r="F744" i="7"/>
  <c r="F680" i="7"/>
  <c r="F58" i="7"/>
  <c r="F23" i="7"/>
  <c r="F281" i="7" s="1"/>
  <c r="AL55" i="7" l="1"/>
  <c r="AL24" i="7"/>
  <c r="AL26" i="7"/>
  <c r="AK144" i="7"/>
  <c r="AK216" i="7"/>
  <c r="AK234" i="7"/>
  <c r="AK87" i="7"/>
  <c r="AK233" i="7"/>
  <c r="AK215" i="7"/>
  <c r="AL656" i="7"/>
  <c r="AL668" i="7"/>
  <c r="AL770" i="7"/>
  <c r="AL663" i="7"/>
  <c r="AL142" i="7" s="1"/>
  <c r="F252" i="7"/>
  <c r="F94" i="7"/>
  <c r="F127" i="7"/>
  <c r="F128" i="7" s="1"/>
  <c r="F164" i="7"/>
  <c r="AL57" i="7"/>
  <c r="AL51" i="7"/>
  <c r="AK97" i="7"/>
  <c r="AM2" i="7"/>
  <c r="G56" i="7"/>
  <c r="AA137" i="1"/>
  <c r="G669" i="7"/>
  <c r="G607" i="7"/>
  <c r="G602" i="7"/>
  <c r="G640" i="7"/>
  <c r="G648" i="7"/>
  <c r="G644" i="7"/>
  <c r="G636" i="7"/>
  <c r="G33" i="7"/>
  <c r="G37" i="7"/>
  <c r="G30" i="7"/>
  <c r="G744" i="7"/>
  <c r="G712" i="7"/>
  <c r="G680" i="7"/>
  <c r="G23" i="7"/>
  <c r="G281" i="7" s="1"/>
  <c r="G58" i="7"/>
  <c r="AM55" i="7" l="1"/>
  <c r="AM24" i="7"/>
  <c r="AM26" i="7"/>
  <c r="AL144" i="7"/>
  <c r="AL216" i="7"/>
  <c r="AL234" i="7"/>
  <c r="AL87" i="7"/>
  <c r="AL215" i="7"/>
  <c r="AL233" i="7"/>
  <c r="AM668" i="7"/>
  <c r="AM656" i="7"/>
  <c r="G252" i="7"/>
  <c r="G94" i="7"/>
  <c r="AM770" i="7"/>
  <c r="AM663" i="7"/>
  <c r="AM142" i="7" s="1"/>
  <c r="G127" i="7"/>
  <c r="G128" i="7" s="1"/>
  <c r="G164" i="7"/>
  <c r="AM57" i="7"/>
  <c r="AM51" i="7"/>
  <c r="AL97" i="7"/>
  <c r="AN2" i="7"/>
  <c r="H56" i="7"/>
  <c r="AB137" i="1"/>
  <c r="H669" i="7"/>
  <c r="H640" i="7"/>
  <c r="H607" i="7"/>
  <c r="H602" i="7"/>
  <c r="H648" i="7"/>
  <c r="H644" i="7"/>
  <c r="H636" i="7"/>
  <c r="H33" i="7"/>
  <c r="H37" i="7"/>
  <c r="H30" i="7"/>
  <c r="H744" i="7"/>
  <c r="H680" i="7"/>
  <c r="H712" i="7"/>
  <c r="H23" i="7"/>
  <c r="H281" i="7" s="1"/>
  <c r="H58" i="7"/>
  <c r="A757" i="7"/>
  <c r="A758" i="7" s="1"/>
  <c r="A759" i="7" s="1"/>
  <c r="A760" i="7" s="1"/>
  <c r="A761" i="7" s="1"/>
  <c r="A762" i="7" s="1"/>
  <c r="A763" i="7" s="1"/>
  <c r="A764" i="7" s="1"/>
  <c r="A765" i="7" s="1"/>
  <c r="A745" i="7"/>
  <c r="H745" i="7" s="1"/>
  <c r="B740" i="7"/>
  <c r="C737" i="7" s="1"/>
  <c r="A725" i="7"/>
  <c r="A726" i="7" s="1"/>
  <c r="A727" i="7" s="1"/>
  <c r="A728" i="7" s="1"/>
  <c r="A729" i="7" s="1"/>
  <c r="A730" i="7" s="1"/>
  <c r="A731" i="7" s="1"/>
  <c r="A732" i="7" s="1"/>
  <c r="A733" i="7" s="1"/>
  <c r="A713" i="7"/>
  <c r="H713" i="7" s="1"/>
  <c r="B708" i="7"/>
  <c r="C705" i="7" s="1"/>
  <c r="A693" i="7"/>
  <c r="A694" i="7" s="1"/>
  <c r="A695" i="7" s="1"/>
  <c r="A696" i="7" s="1"/>
  <c r="A697" i="7" s="1"/>
  <c r="A698" i="7" s="1"/>
  <c r="A699" i="7" s="1"/>
  <c r="A700" i="7" s="1"/>
  <c r="A701" i="7" s="1"/>
  <c r="A681" i="7"/>
  <c r="H681" i="7" s="1"/>
  <c r="C673" i="7"/>
  <c r="A647" i="7"/>
  <c r="A643" i="7"/>
  <c r="A639" i="7"/>
  <c r="A635" i="7"/>
  <c r="A631" i="7"/>
  <c r="A342" i="7" s="1"/>
  <c r="A630" i="7"/>
  <c r="A341" i="7" s="1"/>
  <c r="A629" i="7"/>
  <c r="A340" i="7" s="1"/>
  <c r="A628" i="7"/>
  <c r="A339" i="7" s="1"/>
  <c r="A623" i="7"/>
  <c r="A336" i="7" s="1"/>
  <c r="A622" i="7"/>
  <c r="A335" i="7" s="1"/>
  <c r="A621" i="7"/>
  <c r="A334" i="7" s="1"/>
  <c r="A620" i="7"/>
  <c r="A333" i="7" s="1"/>
  <c r="A619" i="7"/>
  <c r="A332" i="7" s="1"/>
  <c r="C617" i="7"/>
  <c r="A617" i="7"/>
  <c r="A330" i="7" s="1"/>
  <c r="C616" i="7"/>
  <c r="A616" i="7"/>
  <c r="A329" i="7" s="1"/>
  <c r="C615" i="7"/>
  <c r="A615" i="7"/>
  <c r="A328" i="7" s="1"/>
  <c r="C614" i="7"/>
  <c r="A614" i="7"/>
  <c r="A327" i="7" s="1"/>
  <c r="A613" i="7"/>
  <c r="A326" i="7" s="1"/>
  <c r="A574" i="7"/>
  <c r="A575" i="7" s="1"/>
  <c r="A576" i="7" s="1"/>
  <c r="A577" i="7" s="1"/>
  <c r="A578" i="7" s="1"/>
  <c r="A579" i="7" s="1"/>
  <c r="A580" i="7" s="1"/>
  <c r="A581" i="7" s="1"/>
  <c r="A582" i="7" s="1"/>
  <c r="A562" i="7"/>
  <c r="A563" i="7" s="1"/>
  <c r="A564" i="7" s="1"/>
  <c r="A565" i="7" s="1"/>
  <c r="A566" i="7" s="1"/>
  <c r="A567" i="7" s="1"/>
  <c r="A568" i="7" s="1"/>
  <c r="A569" i="7" s="1"/>
  <c r="A570" i="7" s="1"/>
  <c r="A548" i="7"/>
  <c r="A549" i="7" s="1"/>
  <c r="A550" i="7" s="1"/>
  <c r="A551" i="7" s="1"/>
  <c r="A552" i="7" s="1"/>
  <c r="A553" i="7" s="1"/>
  <c r="A554" i="7" s="1"/>
  <c r="A555" i="7" s="1"/>
  <c r="A556" i="7" s="1"/>
  <c r="A536" i="7"/>
  <c r="A537" i="7" s="1"/>
  <c r="A538" i="7" s="1"/>
  <c r="A539" i="7" s="1"/>
  <c r="A540" i="7" s="1"/>
  <c r="A541" i="7" s="1"/>
  <c r="A542" i="7" s="1"/>
  <c r="A543" i="7" s="1"/>
  <c r="A544" i="7" s="1"/>
  <c r="A522" i="7"/>
  <c r="A523" i="7" s="1"/>
  <c r="A524" i="7" s="1"/>
  <c r="A525" i="7" s="1"/>
  <c r="A526" i="7" s="1"/>
  <c r="A527" i="7" s="1"/>
  <c r="A528" i="7" s="1"/>
  <c r="A529" i="7" s="1"/>
  <c r="A530" i="7" s="1"/>
  <c r="A510" i="7"/>
  <c r="A511" i="7" s="1"/>
  <c r="A512" i="7" s="1"/>
  <c r="A513" i="7" s="1"/>
  <c r="A514" i="7" s="1"/>
  <c r="A515" i="7" s="1"/>
  <c r="A516" i="7" s="1"/>
  <c r="A517" i="7" s="1"/>
  <c r="A518" i="7" s="1"/>
  <c r="B504" i="7"/>
  <c r="B503" i="7"/>
  <c r="A480" i="7"/>
  <c r="A437" i="7"/>
  <c r="A438" i="7" s="1"/>
  <c r="A439" i="7" s="1"/>
  <c r="A440" i="7" s="1"/>
  <c r="A441" i="7" s="1"/>
  <c r="A442" i="7" s="1"/>
  <c r="A443" i="7" s="1"/>
  <c r="A444" i="7" s="1"/>
  <c r="A445" i="7" s="1"/>
  <c r="A425" i="7"/>
  <c r="A426" i="7" s="1"/>
  <c r="A427" i="7" s="1"/>
  <c r="A428" i="7" s="1"/>
  <c r="A429" i="7" s="1"/>
  <c r="A430" i="7" s="1"/>
  <c r="A431" i="7" s="1"/>
  <c r="A432" i="7" s="1"/>
  <c r="A433" i="7" s="1"/>
  <c r="A411" i="7"/>
  <c r="A412" i="7" s="1"/>
  <c r="A413" i="7" s="1"/>
  <c r="A414" i="7" s="1"/>
  <c r="A415" i="7" s="1"/>
  <c r="A416" i="7" s="1"/>
  <c r="A417" i="7" s="1"/>
  <c r="A418" i="7" s="1"/>
  <c r="A419" i="7" s="1"/>
  <c r="A399" i="7"/>
  <c r="A400" i="7" s="1"/>
  <c r="A401" i="7" s="1"/>
  <c r="A402" i="7" s="1"/>
  <c r="A403" i="7" s="1"/>
  <c r="A404" i="7" s="1"/>
  <c r="A405" i="7" s="1"/>
  <c r="A406" i="7" s="1"/>
  <c r="A407" i="7" s="1"/>
  <c r="A385" i="7"/>
  <c r="A386" i="7" s="1"/>
  <c r="A387" i="7" s="1"/>
  <c r="A388" i="7" s="1"/>
  <c r="A389" i="7" s="1"/>
  <c r="A390" i="7" s="1"/>
  <c r="A391" i="7" s="1"/>
  <c r="A392" i="7" s="1"/>
  <c r="A393" i="7" s="1"/>
  <c r="A374" i="7"/>
  <c r="A375" i="7" s="1"/>
  <c r="A376" i="7" s="1"/>
  <c r="A377" i="7" s="1"/>
  <c r="A378" i="7" s="1"/>
  <c r="A379" i="7" s="1"/>
  <c r="A380" i="7" s="1"/>
  <c r="A381" i="7" s="1"/>
  <c r="A382" i="7" s="1"/>
  <c r="B368" i="7"/>
  <c r="B367" i="7"/>
  <c r="A343" i="7"/>
  <c r="A338" i="7"/>
  <c r="A337" i="7"/>
  <c r="A331" i="7"/>
  <c r="A325" i="7"/>
  <c r="A320" i="7"/>
  <c r="A456" i="7" s="1"/>
  <c r="A319" i="7"/>
  <c r="A455" i="7" s="1"/>
  <c r="A318" i="7"/>
  <c r="A454" i="7" s="1"/>
  <c r="A317" i="7"/>
  <c r="A453" i="7" s="1"/>
  <c r="A316" i="7"/>
  <c r="A452" i="7" s="1"/>
  <c r="A315" i="7"/>
  <c r="A451" i="7" s="1"/>
  <c r="B106" i="7"/>
  <c r="B105" i="7"/>
  <c r="B104" i="7"/>
  <c r="B100" i="7"/>
  <c r="B99" i="7"/>
  <c r="AN55" i="7" l="1"/>
  <c r="AN24" i="7"/>
  <c r="AN26" i="7"/>
  <c r="AM144" i="7"/>
  <c r="AM216" i="7"/>
  <c r="AM234" i="7"/>
  <c r="C257" i="7"/>
  <c r="C289" i="7"/>
  <c r="C291" i="7"/>
  <c r="C259" i="7"/>
  <c r="AM87" i="7"/>
  <c r="AM233" i="7"/>
  <c r="AM215" i="7"/>
  <c r="C258" i="7"/>
  <c r="C290" i="7"/>
  <c r="C260" i="7"/>
  <c r="C292" i="7"/>
  <c r="AN656" i="7"/>
  <c r="AN668" i="7"/>
  <c r="H252" i="7"/>
  <c r="H94" i="7"/>
  <c r="AN770" i="7"/>
  <c r="AN663" i="7"/>
  <c r="AN142" i="7" s="1"/>
  <c r="H127" i="7"/>
  <c r="H128" i="7" s="1"/>
  <c r="H164" i="7"/>
  <c r="AN51" i="7"/>
  <c r="AN57" i="7"/>
  <c r="AM97" i="7"/>
  <c r="B107" i="7"/>
  <c r="B140" i="7" s="1"/>
  <c r="AO2" i="7"/>
  <c r="I56" i="7"/>
  <c r="AC137" i="1"/>
  <c r="I669" i="7"/>
  <c r="I607" i="7"/>
  <c r="I602" i="7"/>
  <c r="I648" i="7"/>
  <c r="I644" i="7"/>
  <c r="I640" i="7"/>
  <c r="I636" i="7"/>
  <c r="I33" i="7"/>
  <c r="I37" i="7"/>
  <c r="I30" i="7"/>
  <c r="A746" i="7"/>
  <c r="C758" i="7" s="1"/>
  <c r="C745" i="7"/>
  <c r="C425" i="7" s="1"/>
  <c r="D745" i="7"/>
  <c r="E745" i="7"/>
  <c r="F745" i="7"/>
  <c r="G745" i="7"/>
  <c r="A682" i="7"/>
  <c r="C694" i="7" s="1"/>
  <c r="C681" i="7"/>
  <c r="D681" i="7"/>
  <c r="E681" i="7"/>
  <c r="F681" i="7"/>
  <c r="G681" i="7"/>
  <c r="A714" i="7"/>
  <c r="I714" i="7" s="1"/>
  <c r="C713" i="7"/>
  <c r="C399" i="7" s="1"/>
  <c r="D713" i="7"/>
  <c r="E713" i="7"/>
  <c r="F713" i="7"/>
  <c r="G713" i="7"/>
  <c r="I745" i="7"/>
  <c r="I744" i="7"/>
  <c r="I746" i="7"/>
  <c r="I712" i="7"/>
  <c r="I713" i="7"/>
  <c r="I680" i="7"/>
  <c r="I681" i="7"/>
  <c r="I58" i="7"/>
  <c r="I23" i="7"/>
  <c r="I281" i="7" s="1"/>
  <c r="C618" i="7"/>
  <c r="C625" i="7" s="1"/>
  <c r="B81" i="7" s="1"/>
  <c r="B82" i="7" s="1"/>
  <c r="B191" i="7" s="1"/>
  <c r="B337" i="7"/>
  <c r="B331" i="7"/>
  <c r="B467" i="7"/>
  <c r="B473" i="7"/>
  <c r="D693" i="7"/>
  <c r="D487" i="7"/>
  <c r="D353" i="7"/>
  <c r="C757" i="7"/>
  <c r="C424" i="7"/>
  <c r="C725" i="7"/>
  <c r="C693" i="7"/>
  <c r="C373" i="7"/>
  <c r="C608" i="7"/>
  <c r="C603" i="7"/>
  <c r="C488" i="7"/>
  <c r="C487" i="7"/>
  <c r="C486" i="7"/>
  <c r="C485" i="7"/>
  <c r="C484" i="7"/>
  <c r="C504" i="7"/>
  <c r="C368" i="7"/>
  <c r="C352" i="7"/>
  <c r="C351" i="7"/>
  <c r="C350" i="7"/>
  <c r="C349" i="7"/>
  <c r="C348" i="7"/>
  <c r="C32" i="7"/>
  <c r="D32" i="7"/>
  <c r="A485" i="7"/>
  <c r="A493" i="7" s="1"/>
  <c r="A487" i="7"/>
  <c r="A495" i="7" s="1"/>
  <c r="A489" i="7"/>
  <c r="A497" i="7" s="1"/>
  <c r="A462" i="7"/>
  <c r="A473" i="7"/>
  <c r="A474" i="7"/>
  <c r="A348" i="7"/>
  <c r="A356" i="7" s="1"/>
  <c r="A349" i="7"/>
  <c r="A357" i="7" s="1"/>
  <c r="A350" i="7"/>
  <c r="A358" i="7" s="1"/>
  <c r="A351" i="7"/>
  <c r="A359" i="7" s="1"/>
  <c r="A352" i="7"/>
  <c r="A360" i="7" s="1"/>
  <c r="A353" i="7"/>
  <c r="A361" i="7" s="1"/>
  <c r="A484" i="7"/>
  <c r="A492" i="7" s="1"/>
  <c r="A486" i="7"/>
  <c r="A494" i="7" s="1"/>
  <c r="A488" i="7"/>
  <c r="A496" i="7" s="1"/>
  <c r="A461" i="7"/>
  <c r="A467" i="7"/>
  <c r="A468" i="7"/>
  <c r="A479" i="7"/>
  <c r="AO55" i="7" l="1"/>
  <c r="AO24" i="7"/>
  <c r="AO26" i="7"/>
  <c r="C261" i="7"/>
  <c r="C274" i="7" s="1"/>
  <c r="AN87" i="7"/>
  <c r="AN233" i="7"/>
  <c r="AN215" i="7"/>
  <c r="B162" i="7"/>
  <c r="AN144" i="7"/>
  <c r="AN216" i="7"/>
  <c r="AN234" i="7"/>
  <c r="C293" i="7"/>
  <c r="C306" i="7" s="1"/>
  <c r="AO668" i="7"/>
  <c r="AO656" i="7"/>
  <c r="I252" i="7"/>
  <c r="I94" i="7"/>
  <c r="AO770" i="7"/>
  <c r="AO663" i="7"/>
  <c r="AO142" i="7" s="1"/>
  <c r="B132" i="7"/>
  <c r="I127" i="7"/>
  <c r="I128" i="7" s="1"/>
  <c r="I164" i="7"/>
  <c r="AO57" i="7"/>
  <c r="AO51" i="7"/>
  <c r="AN97" i="7"/>
  <c r="AP2" i="7"/>
  <c r="D458" i="7"/>
  <c r="D457" i="7" s="1"/>
  <c r="J56" i="7"/>
  <c r="D322" i="7"/>
  <c r="B344" i="7"/>
  <c r="AD137" i="1"/>
  <c r="J669" i="7"/>
  <c r="J607" i="7"/>
  <c r="J636" i="7"/>
  <c r="J602" i="7"/>
  <c r="J648" i="7"/>
  <c r="J644" i="7"/>
  <c r="J640" i="7"/>
  <c r="J33" i="7"/>
  <c r="J37" i="7"/>
  <c r="J30" i="7"/>
  <c r="I682" i="7"/>
  <c r="D726" i="7"/>
  <c r="C726" i="7"/>
  <c r="C369" i="7"/>
  <c r="A683" i="7"/>
  <c r="D695" i="7" s="1"/>
  <c r="C682" i="7"/>
  <c r="C375" i="7" s="1"/>
  <c r="D682" i="7"/>
  <c r="E682" i="7"/>
  <c r="F682" i="7"/>
  <c r="G682" i="7"/>
  <c r="H682" i="7"/>
  <c r="A715" i="7"/>
  <c r="D727" i="7" s="1"/>
  <c r="C714" i="7"/>
  <c r="C400" i="7" s="1"/>
  <c r="D714" i="7"/>
  <c r="E714" i="7"/>
  <c r="F714" i="7"/>
  <c r="G714" i="7"/>
  <c r="H714" i="7"/>
  <c r="A747" i="7"/>
  <c r="J747" i="7" s="1"/>
  <c r="C746" i="7"/>
  <c r="C426" i="7" s="1"/>
  <c r="D746" i="7"/>
  <c r="E746" i="7"/>
  <c r="F746" i="7"/>
  <c r="G746" i="7"/>
  <c r="H746" i="7"/>
  <c r="J744" i="7"/>
  <c r="J715" i="7"/>
  <c r="J714" i="7"/>
  <c r="J713" i="7"/>
  <c r="J712" i="7"/>
  <c r="J746" i="7"/>
  <c r="J745" i="7"/>
  <c r="J681" i="7"/>
  <c r="J682" i="7"/>
  <c r="J680" i="7"/>
  <c r="J58" i="7"/>
  <c r="J23" i="7"/>
  <c r="J281" i="7" s="1"/>
  <c r="D603" i="7"/>
  <c r="D349" i="7"/>
  <c r="D350" i="7"/>
  <c r="D484" i="7"/>
  <c r="D488" i="7"/>
  <c r="D608" i="7"/>
  <c r="D694" i="7"/>
  <c r="D398" i="7"/>
  <c r="D425" i="7"/>
  <c r="D368" i="7"/>
  <c r="D351" i="7"/>
  <c r="D485" i="7"/>
  <c r="D489" i="7"/>
  <c r="D373" i="7"/>
  <c r="D757" i="7"/>
  <c r="D34" i="7"/>
  <c r="D348" i="7"/>
  <c r="D352" i="7"/>
  <c r="D486" i="7"/>
  <c r="D504" i="7"/>
  <c r="D374" i="7"/>
  <c r="D725" i="7"/>
  <c r="D758" i="7"/>
  <c r="D657" i="7"/>
  <c r="D141" i="7" s="1"/>
  <c r="C505" i="7"/>
  <c r="C398" i="7"/>
  <c r="C34" i="7"/>
  <c r="E757" i="7"/>
  <c r="E758" i="7"/>
  <c r="E726" i="7"/>
  <c r="E725" i="7"/>
  <c r="E693" i="7"/>
  <c r="E608" i="7"/>
  <c r="E489" i="7"/>
  <c r="E488" i="7"/>
  <c r="E487" i="7"/>
  <c r="E485" i="7"/>
  <c r="E484" i="7"/>
  <c r="E504" i="7"/>
  <c r="E353" i="7"/>
  <c r="E352" i="7"/>
  <c r="E351" i="7"/>
  <c r="E349" i="7"/>
  <c r="E348" i="7"/>
  <c r="E32" i="7"/>
  <c r="C562" i="7"/>
  <c r="C374" i="7"/>
  <c r="C509" i="7"/>
  <c r="C536" i="7"/>
  <c r="C561" i="7"/>
  <c r="D424" i="7"/>
  <c r="AP55" i="7" l="1"/>
  <c r="AP24" i="7"/>
  <c r="AP26" i="7"/>
  <c r="AO144" i="7"/>
  <c r="AO216" i="7"/>
  <c r="AO234" i="7"/>
  <c r="AO87" i="7"/>
  <c r="AO233" i="7"/>
  <c r="AO215" i="7"/>
  <c r="AP668" i="7"/>
  <c r="AP656" i="7"/>
  <c r="J252" i="7"/>
  <c r="J94" i="7"/>
  <c r="AP770" i="7"/>
  <c r="AP663" i="7"/>
  <c r="AP142" i="7" s="1"/>
  <c r="J127" i="7"/>
  <c r="J128" i="7" s="1"/>
  <c r="J164" i="7"/>
  <c r="AP57" i="7"/>
  <c r="AP51" i="7"/>
  <c r="AO97" i="7"/>
  <c r="K56" i="7"/>
  <c r="D320" i="7"/>
  <c r="D321" i="7"/>
  <c r="AE137" i="1"/>
  <c r="K669" i="7"/>
  <c r="K607" i="7"/>
  <c r="K602" i="7"/>
  <c r="K648" i="7"/>
  <c r="K644" i="7"/>
  <c r="K640" i="7"/>
  <c r="K636" i="7"/>
  <c r="K33" i="7"/>
  <c r="K37" i="7"/>
  <c r="K30" i="7"/>
  <c r="D316" i="7"/>
  <c r="D317" i="7"/>
  <c r="D319" i="7"/>
  <c r="D315" i="7"/>
  <c r="D318" i="7"/>
  <c r="D456" i="7"/>
  <c r="D454" i="7"/>
  <c r="D451" i="7"/>
  <c r="D452" i="7"/>
  <c r="D453" i="7"/>
  <c r="D455" i="7"/>
  <c r="D535" i="7"/>
  <c r="C511" i="7"/>
  <c r="C537" i="7"/>
  <c r="D510" i="7"/>
  <c r="C563" i="7"/>
  <c r="C535" i="7"/>
  <c r="E727" i="7"/>
  <c r="E695" i="7"/>
  <c r="D375" i="7"/>
  <c r="D426" i="7"/>
  <c r="D759" i="7"/>
  <c r="J683" i="7"/>
  <c r="A748" i="7"/>
  <c r="C760" i="7" s="1"/>
  <c r="C747" i="7"/>
  <c r="D747" i="7"/>
  <c r="E747" i="7"/>
  <c r="F747" i="7"/>
  <c r="G747" i="7"/>
  <c r="H747" i="7"/>
  <c r="C759" i="7"/>
  <c r="I747" i="7"/>
  <c r="A684" i="7"/>
  <c r="F696" i="7" s="1"/>
  <c r="C683" i="7"/>
  <c r="D683" i="7"/>
  <c r="E683" i="7"/>
  <c r="F683" i="7"/>
  <c r="G683" i="7"/>
  <c r="H683" i="7"/>
  <c r="I683" i="7"/>
  <c r="C695" i="7"/>
  <c r="D400" i="7"/>
  <c r="A716" i="7"/>
  <c r="K716" i="7" s="1"/>
  <c r="C715" i="7"/>
  <c r="D715" i="7"/>
  <c r="E715" i="7"/>
  <c r="F715" i="7"/>
  <c r="G715" i="7"/>
  <c r="H715" i="7"/>
  <c r="C727" i="7"/>
  <c r="C728" i="7"/>
  <c r="I715" i="7"/>
  <c r="K747" i="7"/>
  <c r="K746" i="7"/>
  <c r="K744" i="7"/>
  <c r="K715" i="7"/>
  <c r="K745" i="7"/>
  <c r="K713" i="7"/>
  <c r="K683" i="7"/>
  <c r="K681" i="7"/>
  <c r="K714" i="7"/>
  <c r="K682" i="7"/>
  <c r="K680" i="7"/>
  <c r="K712" i="7"/>
  <c r="D369" i="7"/>
  <c r="D505" i="7"/>
  <c r="K23" i="7"/>
  <c r="K281" i="7" s="1"/>
  <c r="K58" i="7"/>
  <c r="E350" i="7"/>
  <c r="E368" i="7"/>
  <c r="E486" i="7"/>
  <c r="E603" i="7"/>
  <c r="E694" i="7"/>
  <c r="E759" i="7"/>
  <c r="E400" i="7"/>
  <c r="E373" i="7"/>
  <c r="E426" i="7"/>
  <c r="E425" i="7"/>
  <c r="D399" i="7"/>
  <c r="E374" i="7"/>
  <c r="E399" i="7"/>
  <c r="F657" i="7"/>
  <c r="F141" i="7" s="1"/>
  <c r="E657" i="7"/>
  <c r="E141" i="7" s="1"/>
  <c r="E424" i="7"/>
  <c r="E34" i="7"/>
  <c r="D562" i="7"/>
  <c r="D561" i="7"/>
  <c r="C510" i="7"/>
  <c r="D509" i="7"/>
  <c r="F759" i="7"/>
  <c r="F758" i="7"/>
  <c r="F426" i="7"/>
  <c r="F425" i="7"/>
  <c r="F424" i="7"/>
  <c r="F727" i="7"/>
  <c r="F726" i="7"/>
  <c r="F725" i="7"/>
  <c r="F400" i="7"/>
  <c r="F399" i="7"/>
  <c r="F398" i="7"/>
  <c r="F695" i="7"/>
  <c r="F694" i="7"/>
  <c r="F693" i="7"/>
  <c r="F374" i="7"/>
  <c r="F373" i="7"/>
  <c r="F608" i="7"/>
  <c r="F603" i="7"/>
  <c r="F504" i="7"/>
  <c r="F489" i="7"/>
  <c r="F488" i="7"/>
  <c r="F487" i="7"/>
  <c r="F486" i="7"/>
  <c r="F485" i="7"/>
  <c r="F484" i="7"/>
  <c r="F353" i="7"/>
  <c r="F352" i="7"/>
  <c r="F351" i="7"/>
  <c r="F350" i="7"/>
  <c r="F349" i="7"/>
  <c r="F348" i="7"/>
  <c r="F368" i="7"/>
  <c r="F32" i="7"/>
  <c r="E369" i="7"/>
  <c r="E505" i="7"/>
  <c r="AP87" i="7" l="1"/>
  <c r="AP233" i="7"/>
  <c r="AP215" i="7"/>
  <c r="AP144" i="7"/>
  <c r="AP216" i="7"/>
  <c r="AP234" i="7"/>
  <c r="K252" i="7"/>
  <c r="K94" i="7"/>
  <c r="K127" i="7"/>
  <c r="K128" i="7" s="1"/>
  <c r="K164" i="7"/>
  <c r="AP97" i="7"/>
  <c r="L56" i="7"/>
  <c r="AF137" i="1"/>
  <c r="L669" i="7"/>
  <c r="L644" i="7"/>
  <c r="L636" i="7"/>
  <c r="L607" i="7"/>
  <c r="L602" i="7"/>
  <c r="L648" i="7"/>
  <c r="L640" i="7"/>
  <c r="L33" i="7"/>
  <c r="L37" i="7"/>
  <c r="L30" i="7"/>
  <c r="D537" i="7"/>
  <c r="E536" i="7"/>
  <c r="E510" i="7"/>
  <c r="D536" i="7"/>
  <c r="E562" i="7"/>
  <c r="E561" i="7"/>
  <c r="E563" i="7"/>
  <c r="D563" i="7"/>
  <c r="E509" i="7"/>
  <c r="D511" i="7"/>
  <c r="E537" i="7"/>
  <c r="F760" i="7"/>
  <c r="F728" i="7"/>
  <c r="F376" i="7"/>
  <c r="E401" i="7"/>
  <c r="F401" i="7"/>
  <c r="K684" i="7"/>
  <c r="E376" i="7"/>
  <c r="E427" i="7"/>
  <c r="C401" i="7"/>
  <c r="D401" i="7"/>
  <c r="C376" i="7"/>
  <c r="D376" i="7"/>
  <c r="A717" i="7"/>
  <c r="C729" i="7" s="1"/>
  <c r="C716" i="7"/>
  <c r="D716" i="7"/>
  <c r="E716" i="7"/>
  <c r="F716" i="7"/>
  <c r="G716" i="7"/>
  <c r="H716" i="7"/>
  <c r="I716" i="7"/>
  <c r="J716" i="7"/>
  <c r="D728" i="7"/>
  <c r="A685" i="7"/>
  <c r="E697" i="7" s="1"/>
  <c r="C684" i="7"/>
  <c r="D684" i="7"/>
  <c r="E684" i="7"/>
  <c r="F684" i="7"/>
  <c r="G684" i="7"/>
  <c r="H684" i="7"/>
  <c r="I684" i="7"/>
  <c r="C697" i="7"/>
  <c r="J684" i="7"/>
  <c r="E696" i="7"/>
  <c r="D696" i="7"/>
  <c r="E728" i="7"/>
  <c r="K748" i="7"/>
  <c r="C696" i="7"/>
  <c r="C427" i="7"/>
  <c r="D427" i="7"/>
  <c r="A749" i="7"/>
  <c r="C761" i="7" s="1"/>
  <c r="C748" i="7"/>
  <c r="D748" i="7"/>
  <c r="E748" i="7"/>
  <c r="F748" i="7"/>
  <c r="G748" i="7"/>
  <c r="H748" i="7"/>
  <c r="I748" i="7"/>
  <c r="D761" i="7"/>
  <c r="E760" i="7"/>
  <c r="J748" i="7"/>
  <c r="D760" i="7"/>
  <c r="E761" i="7"/>
  <c r="L747" i="7"/>
  <c r="L745" i="7"/>
  <c r="L748" i="7"/>
  <c r="L746" i="7"/>
  <c r="L744" i="7"/>
  <c r="L715" i="7"/>
  <c r="L713" i="7"/>
  <c r="L684" i="7"/>
  <c r="L683" i="7"/>
  <c r="L682" i="7"/>
  <c r="L681" i="7"/>
  <c r="L680" i="7"/>
  <c r="L716" i="7"/>
  <c r="L714" i="7"/>
  <c r="L712" i="7"/>
  <c r="L23" i="7"/>
  <c r="L281" i="7" s="1"/>
  <c r="L58" i="7"/>
  <c r="E375" i="7"/>
  <c r="E398" i="7"/>
  <c r="F427" i="7"/>
  <c r="F375" i="7"/>
  <c r="G657" i="7"/>
  <c r="G141" i="7" s="1"/>
  <c r="F34" i="7"/>
  <c r="F509" i="7"/>
  <c r="F537" i="7"/>
  <c r="F561" i="7"/>
  <c r="F562" i="7"/>
  <c r="G760" i="7"/>
  <c r="G759" i="7"/>
  <c r="G758" i="7"/>
  <c r="G427" i="7"/>
  <c r="G426" i="7"/>
  <c r="G425" i="7"/>
  <c r="G424" i="7"/>
  <c r="G728" i="7"/>
  <c r="G727" i="7"/>
  <c r="G726" i="7"/>
  <c r="G725" i="7"/>
  <c r="G401" i="7"/>
  <c r="G400" i="7"/>
  <c r="G399" i="7"/>
  <c r="G398" i="7"/>
  <c r="G696" i="7"/>
  <c r="G695" i="7"/>
  <c r="G694" i="7"/>
  <c r="G693" i="7"/>
  <c r="G376" i="7"/>
  <c r="G375" i="7"/>
  <c r="G374" i="7"/>
  <c r="G373" i="7"/>
  <c r="G608" i="7"/>
  <c r="G603" i="7"/>
  <c r="G489" i="7"/>
  <c r="G488" i="7"/>
  <c r="G487" i="7"/>
  <c r="G486" i="7"/>
  <c r="G485" i="7"/>
  <c r="G484" i="7"/>
  <c r="G504" i="7"/>
  <c r="G368" i="7"/>
  <c r="G353" i="7"/>
  <c r="G352" i="7"/>
  <c r="G351" i="7"/>
  <c r="G350" i="7"/>
  <c r="G349" i="7"/>
  <c r="G348" i="7"/>
  <c r="G32" i="7"/>
  <c r="F369" i="7"/>
  <c r="F510" i="7"/>
  <c r="F535" i="7"/>
  <c r="F563" i="7"/>
  <c r="F505" i="7"/>
  <c r="F536" i="7"/>
  <c r="L252" i="7" l="1"/>
  <c r="L94" i="7"/>
  <c r="L127" i="7"/>
  <c r="L128" i="7" s="1"/>
  <c r="L164" i="7"/>
  <c r="M56" i="7"/>
  <c r="AG137" i="1"/>
  <c r="M669" i="7"/>
  <c r="M607" i="7"/>
  <c r="M602" i="7"/>
  <c r="M648" i="7"/>
  <c r="M644" i="7"/>
  <c r="M640" i="7"/>
  <c r="M636" i="7"/>
  <c r="M33" i="7"/>
  <c r="M37" i="7"/>
  <c r="M30" i="7"/>
  <c r="E535" i="7"/>
  <c r="F538" i="7"/>
  <c r="D512" i="7"/>
  <c r="E538" i="7"/>
  <c r="C512" i="7"/>
  <c r="F512" i="7"/>
  <c r="D538" i="7"/>
  <c r="F511" i="7"/>
  <c r="C538" i="7"/>
  <c r="F564" i="7"/>
  <c r="E564" i="7"/>
  <c r="D564" i="7"/>
  <c r="E512" i="7"/>
  <c r="E511" i="7"/>
  <c r="C564" i="7"/>
  <c r="G729" i="7"/>
  <c r="E729" i="7"/>
  <c r="L717" i="7"/>
  <c r="G402" i="7"/>
  <c r="D697" i="7"/>
  <c r="G377" i="7"/>
  <c r="G697" i="7"/>
  <c r="L685" i="7"/>
  <c r="G428" i="7"/>
  <c r="D729" i="7"/>
  <c r="G761" i="7"/>
  <c r="L749" i="7"/>
  <c r="F729" i="7"/>
  <c r="C377" i="7"/>
  <c r="D377" i="7"/>
  <c r="F377" i="7"/>
  <c r="E377" i="7"/>
  <c r="D428" i="7"/>
  <c r="C428" i="7"/>
  <c r="F428" i="7"/>
  <c r="E428" i="7"/>
  <c r="A686" i="7"/>
  <c r="C698" i="7" s="1"/>
  <c r="C685" i="7"/>
  <c r="D685" i="7"/>
  <c r="E685" i="7"/>
  <c r="F685" i="7"/>
  <c r="G685" i="7"/>
  <c r="H685" i="7"/>
  <c r="I685" i="7"/>
  <c r="J685" i="7"/>
  <c r="K685" i="7"/>
  <c r="F697" i="7"/>
  <c r="C402" i="7"/>
  <c r="D402" i="7"/>
  <c r="F402" i="7"/>
  <c r="E402" i="7"/>
  <c r="A750" i="7"/>
  <c r="E762" i="7" s="1"/>
  <c r="C749" i="7"/>
  <c r="D749" i="7"/>
  <c r="E749" i="7"/>
  <c r="F749" i="7"/>
  <c r="G749" i="7"/>
  <c r="H749" i="7"/>
  <c r="I749" i="7"/>
  <c r="J749" i="7"/>
  <c r="K749" i="7"/>
  <c r="F761" i="7"/>
  <c r="A718" i="7"/>
  <c r="D730" i="7" s="1"/>
  <c r="C717" i="7"/>
  <c r="D717" i="7"/>
  <c r="E717" i="7"/>
  <c r="F717" i="7"/>
  <c r="G717" i="7"/>
  <c r="H717" i="7"/>
  <c r="I717" i="7"/>
  <c r="J717" i="7"/>
  <c r="K717" i="7"/>
  <c r="M748" i="7"/>
  <c r="M746" i="7"/>
  <c r="M745" i="7"/>
  <c r="M744" i="7"/>
  <c r="M749" i="7"/>
  <c r="M712" i="7"/>
  <c r="M717" i="7"/>
  <c r="M715" i="7"/>
  <c r="M747" i="7"/>
  <c r="M716" i="7"/>
  <c r="M714" i="7"/>
  <c r="M684" i="7"/>
  <c r="M682" i="7"/>
  <c r="M680" i="7"/>
  <c r="M713" i="7"/>
  <c r="M685" i="7"/>
  <c r="M683" i="7"/>
  <c r="M681" i="7"/>
  <c r="M58" i="7"/>
  <c r="M23" i="7"/>
  <c r="M281" i="7" s="1"/>
  <c r="H657" i="7"/>
  <c r="H141" i="7" s="1"/>
  <c r="G34" i="7"/>
  <c r="G509" i="7"/>
  <c r="G512" i="7"/>
  <c r="G536" i="7"/>
  <c r="G564" i="7"/>
  <c r="G537" i="7"/>
  <c r="G561" i="7"/>
  <c r="H761" i="7"/>
  <c r="H760" i="7"/>
  <c r="H759" i="7"/>
  <c r="H758" i="7"/>
  <c r="H428" i="7"/>
  <c r="H427" i="7"/>
  <c r="H426" i="7"/>
  <c r="H425" i="7"/>
  <c r="H424" i="7"/>
  <c r="H729" i="7"/>
  <c r="H728" i="7"/>
  <c r="H727" i="7"/>
  <c r="H726" i="7"/>
  <c r="H725" i="7"/>
  <c r="H402" i="7"/>
  <c r="H401" i="7"/>
  <c r="H400" i="7"/>
  <c r="H399" i="7"/>
  <c r="H398" i="7"/>
  <c r="H697" i="7"/>
  <c r="H696" i="7"/>
  <c r="H695" i="7"/>
  <c r="H694" i="7"/>
  <c r="H693" i="7"/>
  <c r="H377" i="7"/>
  <c r="H376" i="7"/>
  <c r="H375" i="7"/>
  <c r="H374" i="7"/>
  <c r="H373" i="7"/>
  <c r="H608" i="7"/>
  <c r="H603" i="7"/>
  <c r="H504" i="7"/>
  <c r="H489" i="7"/>
  <c r="H488" i="7"/>
  <c r="H487" i="7"/>
  <c r="H486" i="7"/>
  <c r="H485" i="7"/>
  <c r="H484" i="7"/>
  <c r="H353" i="7"/>
  <c r="H352" i="7"/>
  <c r="H351" i="7"/>
  <c r="H350" i="7"/>
  <c r="H349" i="7"/>
  <c r="H348" i="7"/>
  <c r="H368" i="7"/>
  <c r="H32" i="7"/>
  <c r="G369" i="7"/>
  <c r="G511" i="7"/>
  <c r="G510" i="7"/>
  <c r="G538" i="7"/>
  <c r="G562" i="7"/>
  <c r="G535" i="7"/>
  <c r="G563" i="7"/>
  <c r="G505" i="7"/>
  <c r="M252" i="7" l="1"/>
  <c r="M94" i="7"/>
  <c r="M127" i="7"/>
  <c r="M128" i="7" s="1"/>
  <c r="M164" i="7"/>
  <c r="N56" i="7"/>
  <c r="AH137" i="1"/>
  <c r="N669" i="7"/>
  <c r="N602" i="7"/>
  <c r="N648" i="7"/>
  <c r="N644" i="7"/>
  <c r="N640" i="7"/>
  <c r="N636" i="7"/>
  <c r="N607" i="7"/>
  <c r="N33" i="7"/>
  <c r="N37" i="7"/>
  <c r="N30" i="7"/>
  <c r="C513" i="7"/>
  <c r="G513" i="7"/>
  <c r="E565" i="7"/>
  <c r="E539" i="7"/>
  <c r="F565" i="7"/>
  <c r="G539" i="7"/>
  <c r="F539" i="7"/>
  <c r="C565" i="7"/>
  <c r="D513" i="7"/>
  <c r="D539" i="7"/>
  <c r="D565" i="7"/>
  <c r="F513" i="7"/>
  <c r="C539" i="7"/>
  <c r="E513" i="7"/>
  <c r="G565" i="7"/>
  <c r="H730" i="7"/>
  <c r="H762" i="7"/>
  <c r="H698" i="7"/>
  <c r="F698" i="7"/>
  <c r="M718" i="7"/>
  <c r="E730" i="7"/>
  <c r="F730" i="7"/>
  <c r="H378" i="7"/>
  <c r="D698" i="7"/>
  <c r="C730" i="7"/>
  <c r="E698" i="7"/>
  <c r="M686" i="7"/>
  <c r="H403" i="7"/>
  <c r="M750" i="7"/>
  <c r="F762" i="7"/>
  <c r="D762" i="7"/>
  <c r="C762" i="7"/>
  <c r="H429" i="7"/>
  <c r="A719" i="7"/>
  <c r="E731" i="7" s="1"/>
  <c r="C718" i="7"/>
  <c r="D718" i="7"/>
  <c r="E718" i="7"/>
  <c r="F718" i="7"/>
  <c r="G718" i="7"/>
  <c r="H718" i="7"/>
  <c r="I718" i="7"/>
  <c r="J718" i="7"/>
  <c r="K718" i="7"/>
  <c r="L718" i="7"/>
  <c r="G730" i="7"/>
  <c r="C429" i="7"/>
  <c r="D429" i="7"/>
  <c r="E429" i="7"/>
  <c r="F429" i="7"/>
  <c r="G429" i="7"/>
  <c r="C378" i="7"/>
  <c r="D378" i="7"/>
  <c r="E378" i="7"/>
  <c r="G378" i="7"/>
  <c r="F378" i="7"/>
  <c r="C403" i="7"/>
  <c r="D403" i="7"/>
  <c r="E403" i="7"/>
  <c r="F403" i="7"/>
  <c r="G403" i="7"/>
  <c r="A751" i="7"/>
  <c r="G763" i="7" s="1"/>
  <c r="C750" i="7"/>
  <c r="D750" i="7"/>
  <c r="E750" i="7"/>
  <c r="F750" i="7"/>
  <c r="G750" i="7"/>
  <c r="H750" i="7"/>
  <c r="I750" i="7"/>
  <c r="J750" i="7"/>
  <c r="K750" i="7"/>
  <c r="G762" i="7"/>
  <c r="L750" i="7"/>
  <c r="A687" i="7"/>
  <c r="G699" i="7" s="1"/>
  <c r="C686" i="7"/>
  <c r="D686" i="7"/>
  <c r="E686" i="7"/>
  <c r="F686" i="7"/>
  <c r="G686" i="7"/>
  <c r="H686" i="7"/>
  <c r="I686" i="7"/>
  <c r="J686" i="7"/>
  <c r="K686" i="7"/>
  <c r="L686" i="7"/>
  <c r="G698" i="7"/>
  <c r="N750" i="7"/>
  <c r="N748" i="7"/>
  <c r="N746" i="7"/>
  <c r="N718" i="7"/>
  <c r="N717" i="7"/>
  <c r="N716" i="7"/>
  <c r="N715" i="7"/>
  <c r="N714" i="7"/>
  <c r="N713" i="7"/>
  <c r="N712" i="7"/>
  <c r="N745" i="7"/>
  <c r="N749" i="7"/>
  <c r="N744" i="7"/>
  <c r="N747" i="7"/>
  <c r="N686" i="7"/>
  <c r="N684" i="7"/>
  <c r="N682" i="7"/>
  <c r="N680" i="7"/>
  <c r="N685" i="7"/>
  <c r="N683" i="7"/>
  <c r="N681" i="7"/>
  <c r="N58" i="7"/>
  <c r="N23" i="7"/>
  <c r="N281" i="7" s="1"/>
  <c r="I657" i="7"/>
  <c r="I141" i="7" s="1"/>
  <c r="H34" i="7"/>
  <c r="H510" i="7"/>
  <c r="H511" i="7"/>
  <c r="H535" i="7"/>
  <c r="H539" i="7"/>
  <c r="H563" i="7"/>
  <c r="H505" i="7"/>
  <c r="H536" i="7"/>
  <c r="H564" i="7"/>
  <c r="I762" i="7"/>
  <c r="I761" i="7"/>
  <c r="I760" i="7"/>
  <c r="I759" i="7"/>
  <c r="I429" i="7"/>
  <c r="I428" i="7"/>
  <c r="I427" i="7"/>
  <c r="I426" i="7"/>
  <c r="I425" i="7"/>
  <c r="I403" i="7"/>
  <c r="I402" i="7"/>
  <c r="I424" i="7"/>
  <c r="I730" i="7"/>
  <c r="I729" i="7"/>
  <c r="I728" i="7"/>
  <c r="I727" i="7"/>
  <c r="I726" i="7"/>
  <c r="I725" i="7"/>
  <c r="I378" i="7"/>
  <c r="I377" i="7"/>
  <c r="I401" i="7"/>
  <c r="I399" i="7"/>
  <c r="I398" i="7"/>
  <c r="I698" i="7"/>
  <c r="I697" i="7"/>
  <c r="I696" i="7"/>
  <c r="I695" i="7"/>
  <c r="I694" i="7"/>
  <c r="I693" i="7"/>
  <c r="I376" i="7"/>
  <c r="I375" i="7"/>
  <c r="I374" i="7"/>
  <c r="I373" i="7"/>
  <c r="I608" i="7"/>
  <c r="I603" i="7"/>
  <c r="I489" i="7"/>
  <c r="I488" i="7"/>
  <c r="I487" i="7"/>
  <c r="I486" i="7"/>
  <c r="I485" i="7"/>
  <c r="I484" i="7"/>
  <c r="I400" i="7"/>
  <c r="I504" i="7"/>
  <c r="I368" i="7"/>
  <c r="I353" i="7"/>
  <c r="I352" i="7"/>
  <c r="I351" i="7"/>
  <c r="I350" i="7"/>
  <c r="I349" i="7"/>
  <c r="I348" i="7"/>
  <c r="I32" i="7"/>
  <c r="H369" i="7"/>
  <c r="H512" i="7"/>
  <c r="H509" i="7"/>
  <c r="H513" i="7"/>
  <c r="H537" i="7"/>
  <c r="H561" i="7"/>
  <c r="H565" i="7"/>
  <c r="H538" i="7"/>
  <c r="H562" i="7"/>
  <c r="C699" i="7" l="1"/>
  <c r="N252" i="7"/>
  <c r="N94" i="7"/>
  <c r="N127" i="7"/>
  <c r="N128" i="7" s="1"/>
  <c r="N164" i="7"/>
  <c r="O56" i="7"/>
  <c r="AI137" i="1"/>
  <c r="O669" i="7"/>
  <c r="O607" i="7"/>
  <c r="O648" i="7"/>
  <c r="O644" i="7"/>
  <c r="O636" i="7"/>
  <c r="O602" i="7"/>
  <c r="O640" i="7"/>
  <c r="O33" i="7"/>
  <c r="O37" i="7"/>
  <c r="O30" i="7"/>
  <c r="G540" i="7"/>
  <c r="D514" i="7"/>
  <c r="H540" i="7"/>
  <c r="E540" i="7"/>
  <c r="G566" i="7"/>
  <c r="D540" i="7"/>
  <c r="F566" i="7"/>
  <c r="H566" i="7"/>
  <c r="C514" i="7"/>
  <c r="C540" i="7"/>
  <c r="E566" i="7"/>
  <c r="F514" i="7"/>
  <c r="D566" i="7"/>
  <c r="H514" i="7"/>
  <c r="G514" i="7"/>
  <c r="C566" i="7"/>
  <c r="F540" i="7"/>
  <c r="E514" i="7"/>
  <c r="C763" i="7"/>
  <c r="F763" i="7"/>
  <c r="I731" i="7"/>
  <c r="N719" i="7"/>
  <c r="F731" i="7"/>
  <c r="C731" i="7"/>
  <c r="I763" i="7"/>
  <c r="E763" i="7"/>
  <c r="D763" i="7"/>
  <c r="I699" i="7"/>
  <c r="N751" i="7"/>
  <c r="I404" i="7"/>
  <c r="D731" i="7"/>
  <c r="D699" i="7"/>
  <c r="G731" i="7"/>
  <c r="N687" i="7"/>
  <c r="F699" i="7"/>
  <c r="I430" i="7"/>
  <c r="A752" i="7"/>
  <c r="D764" i="7" s="1"/>
  <c r="C751" i="7"/>
  <c r="D751" i="7"/>
  <c r="E751" i="7"/>
  <c r="F751" i="7"/>
  <c r="G751" i="7"/>
  <c r="H751" i="7"/>
  <c r="I751" i="7"/>
  <c r="J751" i="7"/>
  <c r="K751" i="7"/>
  <c r="L751" i="7"/>
  <c r="H763" i="7"/>
  <c r="M751" i="7"/>
  <c r="C379" i="7"/>
  <c r="E379" i="7"/>
  <c r="D379" i="7"/>
  <c r="F379" i="7"/>
  <c r="G379" i="7"/>
  <c r="H379" i="7"/>
  <c r="C404" i="7"/>
  <c r="D404" i="7"/>
  <c r="F404" i="7"/>
  <c r="E404" i="7"/>
  <c r="G404" i="7"/>
  <c r="H404" i="7"/>
  <c r="A688" i="7"/>
  <c r="E700" i="7" s="1"/>
  <c r="C687" i="7"/>
  <c r="D687" i="7"/>
  <c r="E687" i="7"/>
  <c r="F687" i="7"/>
  <c r="G687" i="7"/>
  <c r="H687" i="7"/>
  <c r="I687" i="7"/>
  <c r="C700" i="7"/>
  <c r="J687" i="7"/>
  <c r="K687" i="7"/>
  <c r="L687" i="7"/>
  <c r="M687" i="7"/>
  <c r="H699" i="7"/>
  <c r="A720" i="7"/>
  <c r="F732" i="7" s="1"/>
  <c r="C719" i="7"/>
  <c r="D719" i="7"/>
  <c r="E719" i="7"/>
  <c r="F719" i="7"/>
  <c r="G719" i="7"/>
  <c r="H719" i="7"/>
  <c r="I719" i="7"/>
  <c r="C732" i="7"/>
  <c r="J719" i="7"/>
  <c r="K719" i="7"/>
  <c r="L719" i="7"/>
  <c r="M719" i="7"/>
  <c r="H731" i="7"/>
  <c r="I379" i="7"/>
  <c r="E699" i="7"/>
  <c r="C430" i="7"/>
  <c r="D430" i="7"/>
  <c r="E430" i="7"/>
  <c r="F430" i="7"/>
  <c r="G430" i="7"/>
  <c r="H430" i="7"/>
  <c r="O751" i="7"/>
  <c r="O750" i="7"/>
  <c r="O749" i="7"/>
  <c r="O748" i="7"/>
  <c r="O747" i="7"/>
  <c r="O746" i="7"/>
  <c r="O744" i="7"/>
  <c r="O719" i="7"/>
  <c r="O717" i="7"/>
  <c r="O745" i="7"/>
  <c r="O718" i="7"/>
  <c r="O716" i="7"/>
  <c r="O714" i="7"/>
  <c r="O712" i="7"/>
  <c r="O685" i="7"/>
  <c r="O683" i="7"/>
  <c r="O681" i="7"/>
  <c r="O713" i="7"/>
  <c r="O687" i="7"/>
  <c r="O715" i="7"/>
  <c r="O686" i="7"/>
  <c r="O684" i="7"/>
  <c r="O682" i="7"/>
  <c r="O680" i="7"/>
  <c r="O23" i="7"/>
  <c r="O281" i="7" s="1"/>
  <c r="O58" i="7"/>
  <c r="J657" i="7"/>
  <c r="J141" i="7" s="1"/>
  <c r="I513" i="7"/>
  <c r="I512" i="7"/>
  <c r="I536" i="7"/>
  <c r="I540" i="7"/>
  <c r="I564" i="7"/>
  <c r="I537" i="7"/>
  <c r="I561" i="7"/>
  <c r="I565" i="7"/>
  <c r="I34" i="7"/>
  <c r="J763" i="7"/>
  <c r="J762" i="7"/>
  <c r="J761" i="7"/>
  <c r="J760" i="7"/>
  <c r="J759" i="7"/>
  <c r="J430" i="7"/>
  <c r="J429" i="7"/>
  <c r="J428" i="7"/>
  <c r="J427" i="7"/>
  <c r="J426" i="7"/>
  <c r="J425" i="7"/>
  <c r="J424" i="7"/>
  <c r="J731" i="7"/>
  <c r="J730" i="7"/>
  <c r="J729" i="7"/>
  <c r="J728" i="7"/>
  <c r="J727" i="7"/>
  <c r="J726" i="7"/>
  <c r="J725" i="7"/>
  <c r="J404" i="7"/>
  <c r="J403" i="7"/>
  <c r="J402" i="7"/>
  <c r="J401" i="7"/>
  <c r="J400" i="7"/>
  <c r="J399" i="7"/>
  <c r="J398" i="7"/>
  <c r="J699" i="7"/>
  <c r="J698" i="7"/>
  <c r="J697" i="7"/>
  <c r="J696" i="7"/>
  <c r="J695" i="7"/>
  <c r="J694" i="7"/>
  <c r="J693" i="7"/>
  <c r="J379" i="7"/>
  <c r="J378" i="7"/>
  <c r="J377" i="7"/>
  <c r="J376" i="7"/>
  <c r="J375" i="7"/>
  <c r="J374" i="7"/>
  <c r="J373" i="7"/>
  <c r="J608" i="7"/>
  <c r="J603" i="7"/>
  <c r="J504" i="7"/>
  <c r="J489" i="7"/>
  <c r="J488" i="7"/>
  <c r="J487" i="7"/>
  <c r="J486" i="7"/>
  <c r="J485" i="7"/>
  <c r="J484" i="7"/>
  <c r="J353" i="7"/>
  <c r="J352" i="7"/>
  <c r="J351" i="7"/>
  <c r="J350" i="7"/>
  <c r="J349" i="7"/>
  <c r="J348" i="7"/>
  <c r="J368" i="7"/>
  <c r="J32" i="7"/>
  <c r="I369" i="7"/>
  <c r="I509" i="7"/>
  <c r="I511" i="7"/>
  <c r="I510" i="7"/>
  <c r="I514" i="7"/>
  <c r="I538" i="7"/>
  <c r="I562" i="7"/>
  <c r="I566" i="7"/>
  <c r="I535" i="7"/>
  <c r="I539" i="7"/>
  <c r="I563" i="7"/>
  <c r="I505" i="7"/>
  <c r="C764" i="7" l="1"/>
  <c r="O252" i="7"/>
  <c r="O94" i="7"/>
  <c r="O127" i="7"/>
  <c r="O128" i="7" s="1"/>
  <c r="O164" i="7"/>
  <c r="P56" i="7"/>
  <c r="AJ137" i="1"/>
  <c r="P669" i="7"/>
  <c r="P648" i="7"/>
  <c r="P640" i="7"/>
  <c r="P607" i="7"/>
  <c r="P602" i="7"/>
  <c r="P644" i="7"/>
  <c r="P636" i="7"/>
  <c r="P33" i="7"/>
  <c r="P37" i="7"/>
  <c r="P30" i="7"/>
  <c r="O688" i="7"/>
  <c r="C515" i="7"/>
  <c r="H567" i="7"/>
  <c r="D541" i="7"/>
  <c r="I515" i="7"/>
  <c r="G567" i="7"/>
  <c r="C541" i="7"/>
  <c r="F567" i="7"/>
  <c r="H515" i="7"/>
  <c r="F541" i="7"/>
  <c r="E567" i="7"/>
  <c r="G515" i="7"/>
  <c r="D567" i="7"/>
  <c r="H541" i="7"/>
  <c r="F515" i="7"/>
  <c r="I541" i="7"/>
  <c r="C567" i="7"/>
  <c r="G541" i="7"/>
  <c r="D515" i="7"/>
  <c r="E541" i="7"/>
  <c r="E515" i="7"/>
  <c r="I567" i="7"/>
  <c r="E732" i="7"/>
  <c r="G700" i="7"/>
  <c r="D700" i="7"/>
  <c r="J700" i="7"/>
  <c r="H700" i="7"/>
  <c r="F700" i="7"/>
  <c r="J764" i="7"/>
  <c r="F764" i="7"/>
  <c r="O720" i="7"/>
  <c r="H732" i="7"/>
  <c r="G732" i="7"/>
  <c r="J380" i="7"/>
  <c r="H764" i="7"/>
  <c r="J732" i="7"/>
  <c r="D732" i="7"/>
  <c r="E764" i="7"/>
  <c r="O752" i="7"/>
  <c r="G764" i="7"/>
  <c r="J405" i="7"/>
  <c r="A721" i="7"/>
  <c r="D733" i="7" s="1"/>
  <c r="C720" i="7"/>
  <c r="D720" i="7"/>
  <c r="E720" i="7"/>
  <c r="F720" i="7"/>
  <c r="G720" i="7"/>
  <c r="H720" i="7"/>
  <c r="I720" i="7"/>
  <c r="J720" i="7"/>
  <c r="K720" i="7"/>
  <c r="L720" i="7"/>
  <c r="M720" i="7"/>
  <c r="I732" i="7"/>
  <c r="N720" i="7"/>
  <c r="D431" i="7"/>
  <c r="C431" i="7"/>
  <c r="E431" i="7"/>
  <c r="F431" i="7"/>
  <c r="G431" i="7"/>
  <c r="H431" i="7"/>
  <c r="I431" i="7"/>
  <c r="C380" i="7"/>
  <c r="D380" i="7"/>
  <c r="F380" i="7"/>
  <c r="E380" i="7"/>
  <c r="G380" i="7"/>
  <c r="H380" i="7"/>
  <c r="I380" i="7"/>
  <c r="A753" i="7"/>
  <c r="I765" i="7" s="1"/>
  <c r="C752" i="7"/>
  <c r="D752" i="7"/>
  <c r="E752" i="7"/>
  <c r="F752" i="7"/>
  <c r="G752" i="7"/>
  <c r="H752" i="7"/>
  <c r="I752" i="7"/>
  <c r="J752" i="7"/>
  <c r="K752" i="7"/>
  <c r="L752" i="7"/>
  <c r="M752" i="7"/>
  <c r="I764" i="7"/>
  <c r="N752" i="7"/>
  <c r="J431" i="7"/>
  <c r="C405" i="7"/>
  <c r="E405" i="7"/>
  <c r="D405" i="7"/>
  <c r="F405" i="7"/>
  <c r="G405" i="7"/>
  <c r="H405" i="7"/>
  <c r="I405" i="7"/>
  <c r="A689" i="7"/>
  <c r="F701" i="7" s="1"/>
  <c r="C688" i="7"/>
  <c r="D688" i="7"/>
  <c r="E688" i="7"/>
  <c r="F688" i="7"/>
  <c r="G688" i="7"/>
  <c r="H688" i="7"/>
  <c r="I688" i="7"/>
  <c r="C701" i="7"/>
  <c r="J688" i="7"/>
  <c r="K688" i="7"/>
  <c r="L688" i="7"/>
  <c r="M688" i="7"/>
  <c r="N688" i="7"/>
  <c r="I700" i="7"/>
  <c r="P751" i="7"/>
  <c r="P749" i="7"/>
  <c r="P747" i="7"/>
  <c r="P750" i="7"/>
  <c r="P746" i="7"/>
  <c r="P748" i="7"/>
  <c r="P719" i="7"/>
  <c r="P717" i="7"/>
  <c r="P713" i="7"/>
  <c r="P744" i="7"/>
  <c r="P745" i="7"/>
  <c r="P720" i="7"/>
  <c r="P718" i="7"/>
  <c r="P716" i="7"/>
  <c r="P752" i="7"/>
  <c r="P686" i="7"/>
  <c r="P685" i="7"/>
  <c r="P684" i="7"/>
  <c r="P683" i="7"/>
  <c r="P682" i="7"/>
  <c r="P681" i="7"/>
  <c r="P680" i="7"/>
  <c r="P715" i="7"/>
  <c r="P712" i="7"/>
  <c r="P687" i="7"/>
  <c r="P714" i="7"/>
  <c r="P688" i="7"/>
  <c r="P23" i="7"/>
  <c r="P281" i="7" s="1"/>
  <c r="P58" i="7"/>
  <c r="K657" i="7"/>
  <c r="K141" i="7" s="1"/>
  <c r="J514" i="7"/>
  <c r="J509" i="7"/>
  <c r="J513" i="7"/>
  <c r="J537" i="7"/>
  <c r="J541" i="7"/>
  <c r="J561" i="7"/>
  <c r="J565" i="7"/>
  <c r="J538" i="7"/>
  <c r="J562" i="7"/>
  <c r="J566" i="7"/>
  <c r="J34" i="7"/>
  <c r="K764" i="7"/>
  <c r="K763" i="7"/>
  <c r="K762" i="7"/>
  <c r="K761" i="7"/>
  <c r="K760" i="7"/>
  <c r="K759" i="7"/>
  <c r="K431" i="7"/>
  <c r="K430" i="7"/>
  <c r="K429" i="7"/>
  <c r="K428" i="7"/>
  <c r="K427" i="7"/>
  <c r="K426" i="7"/>
  <c r="K405" i="7"/>
  <c r="K404" i="7"/>
  <c r="K403" i="7"/>
  <c r="K402" i="7"/>
  <c r="K425" i="7"/>
  <c r="K732" i="7"/>
  <c r="K731" i="7"/>
  <c r="K730" i="7"/>
  <c r="K729" i="7"/>
  <c r="K728" i="7"/>
  <c r="K727" i="7"/>
  <c r="K726" i="7"/>
  <c r="K725" i="7"/>
  <c r="K401" i="7"/>
  <c r="K380" i="7"/>
  <c r="K379" i="7"/>
  <c r="K378" i="7"/>
  <c r="K377" i="7"/>
  <c r="K400" i="7"/>
  <c r="K399" i="7"/>
  <c r="K398" i="7"/>
  <c r="K700" i="7"/>
  <c r="K699" i="7"/>
  <c r="K698" i="7"/>
  <c r="K697" i="7"/>
  <c r="K696" i="7"/>
  <c r="K695" i="7"/>
  <c r="K694" i="7"/>
  <c r="K693" i="7"/>
  <c r="K375" i="7"/>
  <c r="K376" i="7"/>
  <c r="K374" i="7"/>
  <c r="K608" i="7"/>
  <c r="K603" i="7"/>
  <c r="K489" i="7"/>
  <c r="K488" i="7"/>
  <c r="K487" i="7"/>
  <c r="K486" i="7"/>
  <c r="K485" i="7"/>
  <c r="K484" i="7"/>
  <c r="K504" i="7"/>
  <c r="K368" i="7"/>
  <c r="K353" i="7"/>
  <c r="K352" i="7"/>
  <c r="K351" i="7"/>
  <c r="K350" i="7"/>
  <c r="K349" i="7"/>
  <c r="K348" i="7"/>
  <c r="K32" i="7"/>
  <c r="J512" i="7"/>
  <c r="J369" i="7"/>
  <c r="J510" i="7"/>
  <c r="J511" i="7"/>
  <c r="J515" i="7"/>
  <c r="J535" i="7"/>
  <c r="J539" i="7"/>
  <c r="J563" i="7"/>
  <c r="J567" i="7"/>
  <c r="J505" i="7"/>
  <c r="J536" i="7"/>
  <c r="J540" i="7"/>
  <c r="J564" i="7"/>
  <c r="C765" i="7" l="1"/>
  <c r="P252" i="7"/>
  <c r="P94" i="7"/>
  <c r="P127" i="7"/>
  <c r="P128" i="7" s="1"/>
  <c r="P164" i="7"/>
  <c r="K765" i="7"/>
  <c r="Q56" i="7"/>
  <c r="K733" i="7"/>
  <c r="AK137" i="1"/>
  <c r="Q669" i="7"/>
  <c r="Q607" i="7"/>
  <c r="Q602" i="7"/>
  <c r="Q648" i="7"/>
  <c r="Q644" i="7"/>
  <c r="Q640" i="7"/>
  <c r="Q636" i="7"/>
  <c r="Q33" i="7"/>
  <c r="Q37" i="7"/>
  <c r="Q30" i="7"/>
  <c r="E542" i="7"/>
  <c r="C516" i="7"/>
  <c r="D542" i="7"/>
  <c r="C542" i="7"/>
  <c r="I568" i="7"/>
  <c r="D568" i="7"/>
  <c r="J568" i="7"/>
  <c r="I516" i="7"/>
  <c r="H568" i="7"/>
  <c r="D516" i="7"/>
  <c r="I542" i="7"/>
  <c r="H516" i="7"/>
  <c r="G568" i="7"/>
  <c r="H542" i="7"/>
  <c r="G516" i="7"/>
  <c r="F568" i="7"/>
  <c r="G542" i="7"/>
  <c r="E516" i="7"/>
  <c r="E568" i="7"/>
  <c r="J516" i="7"/>
  <c r="F542" i="7"/>
  <c r="F516" i="7"/>
  <c r="C568" i="7"/>
  <c r="J542" i="7"/>
  <c r="C733" i="7"/>
  <c r="G733" i="7"/>
  <c r="G701" i="7"/>
  <c r="P689" i="7"/>
  <c r="K406" i="7"/>
  <c r="F765" i="7"/>
  <c r="H765" i="7"/>
  <c r="K432" i="7"/>
  <c r="I701" i="7"/>
  <c r="D701" i="7"/>
  <c r="E733" i="7"/>
  <c r="E765" i="7"/>
  <c r="H701" i="7"/>
  <c r="E701" i="7"/>
  <c r="G765" i="7"/>
  <c r="D765" i="7"/>
  <c r="I733" i="7"/>
  <c r="K701" i="7"/>
  <c r="P721" i="7"/>
  <c r="P753" i="7"/>
  <c r="H733" i="7"/>
  <c r="F733" i="7"/>
  <c r="K381" i="7"/>
  <c r="C432" i="7"/>
  <c r="D432" i="7"/>
  <c r="E432" i="7"/>
  <c r="F432" i="7"/>
  <c r="G432" i="7"/>
  <c r="H432" i="7"/>
  <c r="I432" i="7"/>
  <c r="J432" i="7"/>
  <c r="C689" i="7"/>
  <c r="D689" i="7"/>
  <c r="D690" i="7" s="1"/>
  <c r="D675" i="7" s="1"/>
  <c r="E689" i="7"/>
  <c r="E690" i="7" s="1"/>
  <c r="E675" i="7" s="1"/>
  <c r="F689" i="7"/>
  <c r="F690" i="7" s="1"/>
  <c r="F675" i="7" s="1"/>
  <c r="G689" i="7"/>
  <c r="G690" i="7" s="1"/>
  <c r="G675" i="7" s="1"/>
  <c r="H689" i="7"/>
  <c r="H690" i="7" s="1"/>
  <c r="H675" i="7" s="1"/>
  <c r="I689" i="7"/>
  <c r="I690" i="7" s="1"/>
  <c r="I675" i="7" s="1"/>
  <c r="J689" i="7"/>
  <c r="J690" i="7" s="1"/>
  <c r="J675" i="7" s="1"/>
  <c r="K689" i="7"/>
  <c r="K690" i="7" s="1"/>
  <c r="K675" i="7" s="1"/>
  <c r="K104" i="7" s="1"/>
  <c r="L689" i="7"/>
  <c r="M689" i="7"/>
  <c r="N689" i="7"/>
  <c r="O689" i="7"/>
  <c r="J701" i="7"/>
  <c r="C753" i="7"/>
  <c r="D753" i="7"/>
  <c r="D754" i="7" s="1"/>
  <c r="D739" i="7" s="1"/>
  <c r="D106" i="7" s="1"/>
  <c r="E753" i="7"/>
  <c r="E754" i="7" s="1"/>
  <c r="E739" i="7" s="1"/>
  <c r="E106" i="7" s="1"/>
  <c r="F753" i="7"/>
  <c r="F754" i="7" s="1"/>
  <c r="F739" i="7" s="1"/>
  <c r="F106" i="7" s="1"/>
  <c r="G753" i="7"/>
  <c r="G754" i="7" s="1"/>
  <c r="G739" i="7" s="1"/>
  <c r="G106" i="7" s="1"/>
  <c r="H753" i="7"/>
  <c r="H754" i="7" s="1"/>
  <c r="H739" i="7" s="1"/>
  <c r="H106" i="7" s="1"/>
  <c r="I753" i="7"/>
  <c r="I754" i="7" s="1"/>
  <c r="I739" i="7" s="1"/>
  <c r="I106" i="7" s="1"/>
  <c r="J753" i="7"/>
  <c r="J754" i="7" s="1"/>
  <c r="J739" i="7" s="1"/>
  <c r="J106" i="7" s="1"/>
  <c r="K753" i="7"/>
  <c r="K754" i="7" s="1"/>
  <c r="K739" i="7" s="1"/>
  <c r="K106" i="7" s="1"/>
  <c r="L753" i="7"/>
  <c r="M753" i="7"/>
  <c r="N753" i="7"/>
  <c r="O753" i="7"/>
  <c r="J765" i="7"/>
  <c r="C406" i="7"/>
  <c r="D406" i="7"/>
  <c r="F406" i="7"/>
  <c r="E406" i="7"/>
  <c r="G406" i="7"/>
  <c r="H406" i="7"/>
  <c r="I406" i="7"/>
  <c r="J406" i="7"/>
  <c r="C381" i="7"/>
  <c r="D381" i="7"/>
  <c r="E381" i="7"/>
  <c r="F381" i="7"/>
  <c r="G381" i="7"/>
  <c r="H381" i="7"/>
  <c r="I381" i="7"/>
  <c r="J381" i="7"/>
  <c r="C721" i="7"/>
  <c r="D721" i="7"/>
  <c r="D722" i="7" s="1"/>
  <c r="D707" i="7" s="1"/>
  <c r="D105" i="7" s="1"/>
  <c r="E721" i="7"/>
  <c r="E722" i="7" s="1"/>
  <c r="E707" i="7" s="1"/>
  <c r="E105" i="7" s="1"/>
  <c r="F721" i="7"/>
  <c r="F722" i="7" s="1"/>
  <c r="F707" i="7" s="1"/>
  <c r="F105" i="7" s="1"/>
  <c r="G721" i="7"/>
  <c r="G722" i="7" s="1"/>
  <c r="G707" i="7" s="1"/>
  <c r="G105" i="7" s="1"/>
  <c r="H721" i="7"/>
  <c r="H722" i="7" s="1"/>
  <c r="H707" i="7" s="1"/>
  <c r="H105" i="7" s="1"/>
  <c r="I721" i="7"/>
  <c r="I722" i="7" s="1"/>
  <c r="I707" i="7" s="1"/>
  <c r="I105" i="7" s="1"/>
  <c r="J721" i="7"/>
  <c r="J722" i="7" s="1"/>
  <c r="J707" i="7" s="1"/>
  <c r="J105" i="7" s="1"/>
  <c r="K721" i="7"/>
  <c r="K722" i="7" s="1"/>
  <c r="K707" i="7" s="1"/>
  <c r="K105" i="7" s="1"/>
  <c r="L721" i="7"/>
  <c r="M721" i="7"/>
  <c r="N721" i="7"/>
  <c r="J733" i="7"/>
  <c r="O721" i="7"/>
  <c r="Q745" i="7"/>
  <c r="Q744" i="7"/>
  <c r="Q753" i="7"/>
  <c r="Q751" i="7"/>
  <c r="Q749" i="7"/>
  <c r="Q747" i="7"/>
  <c r="Q750" i="7"/>
  <c r="Q720" i="7"/>
  <c r="Q718" i="7"/>
  <c r="Q752" i="7"/>
  <c r="Q746" i="7"/>
  <c r="Q748" i="7"/>
  <c r="Q721" i="7"/>
  <c r="Q719" i="7"/>
  <c r="Q717" i="7"/>
  <c r="Q715" i="7"/>
  <c r="Q713" i="7"/>
  <c r="Q689" i="7"/>
  <c r="Q687" i="7"/>
  <c r="Q712" i="7"/>
  <c r="Q685" i="7"/>
  <c r="Q683" i="7"/>
  <c r="Q681" i="7"/>
  <c r="Q714" i="7"/>
  <c r="Q688" i="7"/>
  <c r="Q686" i="7"/>
  <c r="Q684" i="7"/>
  <c r="Q682" i="7"/>
  <c r="Q680" i="7"/>
  <c r="Q716" i="7"/>
  <c r="Q58" i="7"/>
  <c r="Q23" i="7"/>
  <c r="Q281" i="7" s="1"/>
  <c r="L657" i="7"/>
  <c r="L141" i="7" s="1"/>
  <c r="K537" i="7"/>
  <c r="K516" i="7"/>
  <c r="K565" i="7"/>
  <c r="K512" i="7"/>
  <c r="K541" i="7"/>
  <c r="K369" i="7"/>
  <c r="K513" i="7"/>
  <c r="L765" i="7"/>
  <c r="L764" i="7"/>
  <c r="L763" i="7"/>
  <c r="L762" i="7"/>
  <c r="L761" i="7"/>
  <c r="L760" i="7"/>
  <c r="L758" i="7"/>
  <c r="L432" i="7"/>
  <c r="L431" i="7"/>
  <c r="L430" i="7"/>
  <c r="L429" i="7"/>
  <c r="L428" i="7"/>
  <c r="L427" i="7"/>
  <c r="L426" i="7"/>
  <c r="L425" i="7"/>
  <c r="L733" i="7"/>
  <c r="L732" i="7"/>
  <c r="L731" i="7"/>
  <c r="L730" i="7"/>
  <c r="L729" i="7"/>
  <c r="L728" i="7"/>
  <c r="L727" i="7"/>
  <c r="L726" i="7"/>
  <c r="L725" i="7"/>
  <c r="L406" i="7"/>
  <c r="L405" i="7"/>
  <c r="L404" i="7"/>
  <c r="L403" i="7"/>
  <c r="L402" i="7"/>
  <c r="L401" i="7"/>
  <c r="L400" i="7"/>
  <c r="L399" i="7"/>
  <c r="L398" i="7"/>
  <c r="L701" i="7"/>
  <c r="L700" i="7"/>
  <c r="L699" i="7"/>
  <c r="L698" i="7"/>
  <c r="L697" i="7"/>
  <c r="L696" i="7"/>
  <c r="L695" i="7"/>
  <c r="L694" i="7"/>
  <c r="L693" i="7"/>
  <c r="L381" i="7"/>
  <c r="L380" i="7"/>
  <c r="L379" i="7"/>
  <c r="L378" i="7"/>
  <c r="L377" i="7"/>
  <c r="L376" i="7"/>
  <c r="L375" i="7"/>
  <c r="L374" i="7"/>
  <c r="L608" i="7"/>
  <c r="L603" i="7"/>
  <c r="L504" i="7"/>
  <c r="L489" i="7"/>
  <c r="L488" i="7"/>
  <c r="L487" i="7"/>
  <c r="L486" i="7"/>
  <c r="L485" i="7"/>
  <c r="L484" i="7"/>
  <c r="L353" i="7"/>
  <c r="L352" i="7"/>
  <c r="L351" i="7"/>
  <c r="L350" i="7"/>
  <c r="L349" i="7"/>
  <c r="L348" i="7"/>
  <c r="L368" i="7"/>
  <c r="L32" i="7"/>
  <c r="K515" i="7"/>
  <c r="K536" i="7"/>
  <c r="K540" i="7"/>
  <c r="K564" i="7"/>
  <c r="K568" i="7"/>
  <c r="K34" i="7"/>
  <c r="K373" i="7"/>
  <c r="K424" i="7"/>
  <c r="K511" i="7"/>
  <c r="K510" i="7"/>
  <c r="K514" i="7"/>
  <c r="K538" i="7"/>
  <c r="K542" i="7"/>
  <c r="K562" i="7"/>
  <c r="K566" i="7"/>
  <c r="K535" i="7"/>
  <c r="K539" i="7"/>
  <c r="K563" i="7"/>
  <c r="K567" i="7"/>
  <c r="K505" i="7"/>
  <c r="K107" i="7" l="1"/>
  <c r="K140" i="7" s="1"/>
  <c r="G104" i="7"/>
  <c r="G107" i="7" s="1"/>
  <c r="G140" i="7" s="1"/>
  <c r="J104" i="7"/>
  <c r="J107" i="7" s="1"/>
  <c r="J140" i="7" s="1"/>
  <c r="F104" i="7"/>
  <c r="F107" i="7" s="1"/>
  <c r="F140" i="7" s="1"/>
  <c r="I104" i="7"/>
  <c r="I107" i="7" s="1"/>
  <c r="E104" i="7"/>
  <c r="E107" i="7" s="1"/>
  <c r="E140" i="7" s="1"/>
  <c r="Q252" i="7"/>
  <c r="Q94" i="7"/>
  <c r="H104" i="7"/>
  <c r="H107" i="7" s="1"/>
  <c r="H140" i="7" s="1"/>
  <c r="D104" i="7"/>
  <c r="D107" i="7" s="1"/>
  <c r="D140" i="7" s="1"/>
  <c r="Q127" i="7"/>
  <c r="Q128" i="7" s="1"/>
  <c r="Q164" i="7"/>
  <c r="R56" i="7"/>
  <c r="AL137" i="1"/>
  <c r="R669" i="7"/>
  <c r="R644" i="7"/>
  <c r="R640" i="7"/>
  <c r="R607" i="7"/>
  <c r="R602" i="7"/>
  <c r="R648" i="7"/>
  <c r="R636" i="7"/>
  <c r="R33" i="7"/>
  <c r="R37" i="7"/>
  <c r="R30" i="7"/>
  <c r="D517" i="7"/>
  <c r="D543" i="7"/>
  <c r="H569" i="7"/>
  <c r="K543" i="7"/>
  <c r="G569" i="7"/>
  <c r="J517" i="7"/>
  <c r="J543" i="7"/>
  <c r="F569" i="7"/>
  <c r="I517" i="7"/>
  <c r="I543" i="7"/>
  <c r="E569" i="7"/>
  <c r="H517" i="7"/>
  <c r="H543" i="7"/>
  <c r="D569" i="7"/>
  <c r="G517" i="7"/>
  <c r="G543" i="7"/>
  <c r="C569" i="7"/>
  <c r="K569" i="7"/>
  <c r="C517" i="7"/>
  <c r="F517" i="7"/>
  <c r="E543" i="7"/>
  <c r="J569" i="7"/>
  <c r="K517" i="7"/>
  <c r="C543" i="7"/>
  <c r="E517" i="7"/>
  <c r="F543" i="7"/>
  <c r="I569" i="7"/>
  <c r="L382" i="7"/>
  <c r="L433" i="7"/>
  <c r="L407" i="7"/>
  <c r="C382" i="7"/>
  <c r="D382" i="7"/>
  <c r="E382" i="7"/>
  <c r="F382" i="7"/>
  <c r="G382" i="7"/>
  <c r="H382" i="7"/>
  <c r="I382" i="7"/>
  <c r="J382" i="7"/>
  <c r="K382" i="7"/>
  <c r="C690" i="7"/>
  <c r="C675" i="7" s="1"/>
  <c r="C407" i="7"/>
  <c r="D407" i="7"/>
  <c r="E407" i="7"/>
  <c r="F407" i="7"/>
  <c r="G407" i="7"/>
  <c r="H407" i="7"/>
  <c r="I407" i="7"/>
  <c r="J407" i="7"/>
  <c r="K407" i="7"/>
  <c r="C722" i="7"/>
  <c r="C707" i="7" s="1"/>
  <c r="C105" i="7" s="1"/>
  <c r="C433" i="7"/>
  <c r="D433" i="7"/>
  <c r="F433" i="7"/>
  <c r="E433" i="7"/>
  <c r="G433" i="7"/>
  <c r="H433" i="7"/>
  <c r="I433" i="7"/>
  <c r="J433" i="7"/>
  <c r="K433" i="7"/>
  <c r="C754" i="7"/>
  <c r="C739" i="7" s="1"/>
  <c r="C106" i="7" s="1"/>
  <c r="R752" i="7"/>
  <c r="R750" i="7"/>
  <c r="R748" i="7"/>
  <c r="R746" i="7"/>
  <c r="R751" i="7"/>
  <c r="R747" i="7"/>
  <c r="R745" i="7"/>
  <c r="R721" i="7"/>
  <c r="R720" i="7"/>
  <c r="R719" i="7"/>
  <c r="R718" i="7"/>
  <c r="R717" i="7"/>
  <c r="R716" i="7"/>
  <c r="R715" i="7"/>
  <c r="R714" i="7"/>
  <c r="R713" i="7"/>
  <c r="R712" i="7"/>
  <c r="R689" i="7"/>
  <c r="R688" i="7"/>
  <c r="R687" i="7"/>
  <c r="R749" i="7"/>
  <c r="R744" i="7"/>
  <c r="R753" i="7"/>
  <c r="R686" i="7"/>
  <c r="R684" i="7"/>
  <c r="R682" i="7"/>
  <c r="R680" i="7"/>
  <c r="R685" i="7"/>
  <c r="R683" i="7"/>
  <c r="R681" i="7"/>
  <c r="R58" i="7"/>
  <c r="R23" i="7"/>
  <c r="R281" i="7" s="1"/>
  <c r="M657" i="7"/>
  <c r="M141" i="7" s="1"/>
  <c r="L424" i="7"/>
  <c r="L690" i="7"/>
  <c r="L675" i="7" s="1"/>
  <c r="L104" i="7" s="1"/>
  <c r="L754" i="7"/>
  <c r="L739" i="7" s="1"/>
  <c r="L106" i="7" s="1"/>
  <c r="L373" i="7"/>
  <c r="L34" i="7"/>
  <c r="L722" i="7"/>
  <c r="L707" i="7" s="1"/>
  <c r="L105" i="7" s="1"/>
  <c r="K561" i="7"/>
  <c r="L514" i="7"/>
  <c r="L369" i="7"/>
  <c r="L512" i="7"/>
  <c r="L513" i="7"/>
  <c r="L517" i="7"/>
  <c r="L537" i="7"/>
  <c r="L541" i="7"/>
  <c r="L565" i="7"/>
  <c r="L569" i="7"/>
  <c r="L538" i="7"/>
  <c r="L542" i="7"/>
  <c r="L562" i="7"/>
  <c r="L566" i="7"/>
  <c r="K509" i="7"/>
  <c r="M765" i="7"/>
  <c r="M764" i="7"/>
  <c r="M763" i="7"/>
  <c r="M762" i="7"/>
  <c r="M761" i="7"/>
  <c r="M760" i="7"/>
  <c r="M757" i="7"/>
  <c r="M433" i="7"/>
  <c r="M432" i="7"/>
  <c r="M431" i="7"/>
  <c r="M430" i="7"/>
  <c r="M429" i="7"/>
  <c r="M428" i="7"/>
  <c r="M427" i="7"/>
  <c r="M426" i="7"/>
  <c r="M425" i="7"/>
  <c r="M407" i="7"/>
  <c r="M406" i="7"/>
  <c r="M405" i="7"/>
  <c r="M404" i="7"/>
  <c r="M403" i="7"/>
  <c r="M402" i="7"/>
  <c r="M401" i="7"/>
  <c r="M733" i="7"/>
  <c r="M732" i="7"/>
  <c r="M731" i="7"/>
  <c r="M730" i="7"/>
  <c r="M729" i="7"/>
  <c r="M728" i="7"/>
  <c r="M727" i="7"/>
  <c r="M726" i="7"/>
  <c r="M725" i="7"/>
  <c r="M382" i="7"/>
  <c r="M381" i="7"/>
  <c r="M380" i="7"/>
  <c r="M379" i="7"/>
  <c r="M378" i="7"/>
  <c r="M377" i="7"/>
  <c r="M400" i="7"/>
  <c r="M399" i="7"/>
  <c r="M398" i="7"/>
  <c r="M701" i="7"/>
  <c r="M700" i="7"/>
  <c r="M699" i="7"/>
  <c r="M698" i="7"/>
  <c r="M697" i="7"/>
  <c r="M696" i="7"/>
  <c r="M695" i="7"/>
  <c r="M694" i="7"/>
  <c r="M693" i="7"/>
  <c r="M376" i="7"/>
  <c r="M375" i="7"/>
  <c r="M374" i="7"/>
  <c r="M373" i="7"/>
  <c r="M608" i="7"/>
  <c r="M603" i="7"/>
  <c r="M489" i="7"/>
  <c r="M488" i="7"/>
  <c r="M487" i="7"/>
  <c r="M486" i="7"/>
  <c r="M485" i="7"/>
  <c r="M484" i="7"/>
  <c r="M504" i="7"/>
  <c r="M368" i="7"/>
  <c r="M353" i="7"/>
  <c r="M352" i="7"/>
  <c r="M351" i="7"/>
  <c r="M350" i="7"/>
  <c r="M349" i="7"/>
  <c r="M348" i="7"/>
  <c r="M32" i="7"/>
  <c r="L510" i="7"/>
  <c r="L516" i="7"/>
  <c r="L511" i="7"/>
  <c r="L515" i="7"/>
  <c r="L535" i="7"/>
  <c r="L539" i="7"/>
  <c r="L543" i="7"/>
  <c r="L563" i="7"/>
  <c r="L567" i="7"/>
  <c r="L505" i="7"/>
  <c r="L536" i="7"/>
  <c r="L540" i="7"/>
  <c r="L564" i="7"/>
  <c r="L568" i="7"/>
  <c r="I117" i="7" l="1"/>
  <c r="I140" i="7"/>
  <c r="F117" i="7"/>
  <c r="D117" i="7"/>
  <c r="E117" i="7"/>
  <c r="J117" i="7"/>
  <c r="H117" i="7"/>
  <c r="G117" i="7"/>
  <c r="K117" i="7"/>
  <c r="R252" i="7"/>
  <c r="R94" i="7"/>
  <c r="C104" i="7"/>
  <c r="C107" i="7" s="1"/>
  <c r="C140" i="7" s="1"/>
  <c r="L107" i="7"/>
  <c r="L140" i="7" s="1"/>
  <c r="R127" i="7"/>
  <c r="R128" i="7" s="1"/>
  <c r="R164" i="7"/>
  <c r="S56" i="7"/>
  <c r="AM137" i="1"/>
  <c r="S669" i="7"/>
  <c r="S607" i="7"/>
  <c r="S602" i="7"/>
  <c r="S648" i="7"/>
  <c r="S644" i="7"/>
  <c r="S640" i="7"/>
  <c r="S636" i="7"/>
  <c r="S33" i="7"/>
  <c r="S37" i="7"/>
  <c r="S30" i="7"/>
  <c r="H518" i="7"/>
  <c r="J570" i="7"/>
  <c r="E544" i="7"/>
  <c r="G518" i="7"/>
  <c r="L509" i="7"/>
  <c r="I570" i="7"/>
  <c r="D544" i="7"/>
  <c r="F518" i="7"/>
  <c r="F544" i="7"/>
  <c r="L561" i="7"/>
  <c r="H570" i="7"/>
  <c r="K544" i="7"/>
  <c r="C544" i="7"/>
  <c r="E518" i="7"/>
  <c r="L544" i="7"/>
  <c r="G570" i="7"/>
  <c r="J544" i="7"/>
  <c r="D518" i="7"/>
  <c r="L570" i="7"/>
  <c r="C570" i="7"/>
  <c r="E570" i="7"/>
  <c r="I544" i="7"/>
  <c r="K518" i="7"/>
  <c r="C518" i="7"/>
  <c r="L518" i="7"/>
  <c r="K570" i="7"/>
  <c r="F570" i="7"/>
  <c r="H544" i="7"/>
  <c r="J518" i="7"/>
  <c r="D570" i="7"/>
  <c r="G544" i="7"/>
  <c r="I518" i="7"/>
  <c r="S753" i="7"/>
  <c r="S752" i="7"/>
  <c r="S751" i="7"/>
  <c r="S750" i="7"/>
  <c r="S749" i="7"/>
  <c r="S748" i="7"/>
  <c r="S747" i="7"/>
  <c r="S746" i="7"/>
  <c r="S716" i="7"/>
  <c r="S745" i="7"/>
  <c r="S721" i="7"/>
  <c r="S719" i="7"/>
  <c r="S717" i="7"/>
  <c r="S715" i="7"/>
  <c r="S744" i="7"/>
  <c r="S720" i="7"/>
  <c r="S718" i="7"/>
  <c r="S714" i="7"/>
  <c r="S712" i="7"/>
  <c r="S687" i="7"/>
  <c r="S686" i="7"/>
  <c r="S684" i="7"/>
  <c r="S682" i="7"/>
  <c r="S680" i="7"/>
  <c r="S713" i="7"/>
  <c r="S688" i="7"/>
  <c r="S685" i="7"/>
  <c r="S683" i="7"/>
  <c r="S681" i="7"/>
  <c r="S689" i="7"/>
  <c r="S23" i="7"/>
  <c r="S281" i="7" s="1"/>
  <c r="S58" i="7"/>
  <c r="N657" i="7"/>
  <c r="N141" i="7" s="1"/>
  <c r="M424" i="7"/>
  <c r="M754" i="7"/>
  <c r="M739" i="7" s="1"/>
  <c r="M106" i="7" s="1"/>
  <c r="M34" i="7"/>
  <c r="M510" i="7"/>
  <c r="M539" i="7"/>
  <c r="M543" i="7"/>
  <c r="M562" i="7"/>
  <c r="M517" i="7"/>
  <c r="M566" i="7"/>
  <c r="M570" i="7"/>
  <c r="M513" i="7"/>
  <c r="M515" i="7"/>
  <c r="M512" i="7"/>
  <c r="M516" i="7"/>
  <c r="M536" i="7"/>
  <c r="M540" i="7"/>
  <c r="M544" i="7"/>
  <c r="M564" i="7"/>
  <c r="M568" i="7"/>
  <c r="M537" i="7"/>
  <c r="M541" i="7"/>
  <c r="M565" i="7"/>
  <c r="M569" i="7"/>
  <c r="N765" i="7"/>
  <c r="N764" i="7"/>
  <c r="N763" i="7"/>
  <c r="N762" i="7"/>
  <c r="N761" i="7"/>
  <c r="N760" i="7"/>
  <c r="N757" i="7"/>
  <c r="N433" i="7"/>
  <c r="N432" i="7"/>
  <c r="N431" i="7"/>
  <c r="N430" i="7"/>
  <c r="N429" i="7"/>
  <c r="N428" i="7"/>
  <c r="N427" i="7"/>
  <c r="N426" i="7"/>
  <c r="N425" i="7"/>
  <c r="N424" i="7"/>
  <c r="N733" i="7"/>
  <c r="N732" i="7"/>
  <c r="N731" i="7"/>
  <c r="N730" i="7"/>
  <c r="N729" i="7"/>
  <c r="N728" i="7"/>
  <c r="N727" i="7"/>
  <c r="N726" i="7"/>
  <c r="N725" i="7"/>
  <c r="N407" i="7"/>
  <c r="N406" i="7"/>
  <c r="N405" i="7"/>
  <c r="N404" i="7"/>
  <c r="N403" i="7"/>
  <c r="N402" i="7"/>
  <c r="N401" i="7"/>
  <c r="N400" i="7"/>
  <c r="N399" i="7"/>
  <c r="N398" i="7"/>
  <c r="N701" i="7"/>
  <c r="N700" i="7"/>
  <c r="N699" i="7"/>
  <c r="N698" i="7"/>
  <c r="N697" i="7"/>
  <c r="N696" i="7"/>
  <c r="N695" i="7"/>
  <c r="N694" i="7"/>
  <c r="N693" i="7"/>
  <c r="N382" i="7"/>
  <c r="N381" i="7"/>
  <c r="N380" i="7"/>
  <c r="N379" i="7"/>
  <c r="N378" i="7"/>
  <c r="N377" i="7"/>
  <c r="N376" i="7"/>
  <c r="N375" i="7"/>
  <c r="N374" i="7"/>
  <c r="N373" i="7"/>
  <c r="N608" i="7"/>
  <c r="N603" i="7"/>
  <c r="N504" i="7"/>
  <c r="N489" i="7"/>
  <c r="N488" i="7"/>
  <c r="N487" i="7"/>
  <c r="N486" i="7"/>
  <c r="N485" i="7"/>
  <c r="N484" i="7"/>
  <c r="N353" i="7"/>
  <c r="N352" i="7"/>
  <c r="N351" i="7"/>
  <c r="N350" i="7"/>
  <c r="N349" i="7"/>
  <c r="N348" i="7"/>
  <c r="N368" i="7"/>
  <c r="N32" i="7"/>
  <c r="M369" i="7"/>
  <c r="M509" i="7"/>
  <c r="M511" i="7"/>
  <c r="M514" i="7"/>
  <c r="M518" i="7"/>
  <c r="M538" i="7"/>
  <c r="M542" i="7"/>
  <c r="M535" i="7"/>
  <c r="M563" i="7"/>
  <c r="M567" i="7"/>
  <c r="M505" i="7"/>
  <c r="M690" i="7"/>
  <c r="M675" i="7" s="1"/>
  <c r="M104" i="7" s="1"/>
  <c r="M722" i="7"/>
  <c r="M707" i="7" s="1"/>
  <c r="M105" i="7" s="1"/>
  <c r="L117" i="7" l="1"/>
  <c r="C117" i="7"/>
  <c r="M107" i="7"/>
  <c r="M140" i="7" s="1"/>
  <c r="S252" i="7"/>
  <c r="S94" i="7"/>
  <c r="S127" i="7"/>
  <c r="S128" i="7" s="1"/>
  <c r="S164" i="7"/>
  <c r="T56" i="7"/>
  <c r="AN137" i="1"/>
  <c r="T669" i="7"/>
  <c r="T644" i="7"/>
  <c r="T636" i="7"/>
  <c r="T607" i="7"/>
  <c r="T602" i="7"/>
  <c r="T648" i="7"/>
  <c r="T640" i="7"/>
  <c r="T33" i="7"/>
  <c r="T37" i="7"/>
  <c r="T30" i="7"/>
  <c r="M561" i="7"/>
  <c r="T752" i="7"/>
  <c r="T750" i="7"/>
  <c r="T748" i="7"/>
  <c r="T746" i="7"/>
  <c r="T744" i="7"/>
  <c r="T745" i="7"/>
  <c r="T751" i="7"/>
  <c r="T721" i="7"/>
  <c r="T719" i="7"/>
  <c r="T717" i="7"/>
  <c r="T753" i="7"/>
  <c r="T747" i="7"/>
  <c r="T749" i="7"/>
  <c r="T720" i="7"/>
  <c r="T718" i="7"/>
  <c r="T716" i="7"/>
  <c r="T714" i="7"/>
  <c r="T712" i="7"/>
  <c r="T688" i="7"/>
  <c r="T686" i="7"/>
  <c r="T685" i="7"/>
  <c r="T684" i="7"/>
  <c r="T683" i="7"/>
  <c r="T682" i="7"/>
  <c r="T681" i="7"/>
  <c r="T680" i="7"/>
  <c r="T713" i="7"/>
  <c r="T715" i="7"/>
  <c r="T689" i="7"/>
  <c r="T687" i="7"/>
  <c r="T23" i="7"/>
  <c r="T281" i="7" s="1"/>
  <c r="T58" i="7"/>
  <c r="O657" i="7"/>
  <c r="O141" i="7" s="1"/>
  <c r="N538" i="7"/>
  <c r="N514" i="7"/>
  <c r="N516" i="7"/>
  <c r="N562" i="7"/>
  <c r="N566" i="7"/>
  <c r="N570" i="7"/>
  <c r="N542" i="7"/>
  <c r="N512" i="7"/>
  <c r="N369" i="7"/>
  <c r="N510" i="7"/>
  <c r="N518" i="7"/>
  <c r="N511" i="7"/>
  <c r="N515" i="7"/>
  <c r="N535" i="7"/>
  <c r="N539" i="7"/>
  <c r="N543" i="7"/>
  <c r="N563" i="7"/>
  <c r="N567" i="7"/>
  <c r="N505" i="7"/>
  <c r="N536" i="7"/>
  <c r="N540" i="7"/>
  <c r="N544" i="7"/>
  <c r="N564" i="7"/>
  <c r="N568" i="7"/>
  <c r="O765" i="7"/>
  <c r="O764" i="7"/>
  <c r="O763" i="7"/>
  <c r="O762" i="7"/>
  <c r="O761" i="7"/>
  <c r="O759" i="7"/>
  <c r="O433" i="7"/>
  <c r="O432" i="7"/>
  <c r="O431" i="7"/>
  <c r="O430" i="7"/>
  <c r="O429" i="7"/>
  <c r="O428" i="7"/>
  <c r="O427" i="7"/>
  <c r="O426" i="7"/>
  <c r="O757" i="7"/>
  <c r="O424" i="7"/>
  <c r="O407" i="7"/>
  <c r="O406" i="7"/>
  <c r="O405" i="7"/>
  <c r="O404" i="7"/>
  <c r="O403" i="7"/>
  <c r="O402" i="7"/>
  <c r="O401" i="7"/>
  <c r="O425" i="7"/>
  <c r="O733" i="7"/>
  <c r="O732" i="7"/>
  <c r="O731" i="7"/>
  <c r="O730" i="7"/>
  <c r="O729" i="7"/>
  <c r="O728" i="7"/>
  <c r="O727" i="7"/>
  <c r="O726" i="7"/>
  <c r="O725" i="7"/>
  <c r="O382" i="7"/>
  <c r="O381" i="7"/>
  <c r="O380" i="7"/>
  <c r="O379" i="7"/>
  <c r="O378" i="7"/>
  <c r="O377" i="7"/>
  <c r="O400" i="7"/>
  <c r="O399" i="7"/>
  <c r="O398" i="7"/>
  <c r="O701" i="7"/>
  <c r="O700" i="7"/>
  <c r="O699" i="7"/>
  <c r="O698" i="7"/>
  <c r="O697" i="7"/>
  <c r="O696" i="7"/>
  <c r="O695" i="7"/>
  <c r="O694" i="7"/>
  <c r="O375" i="7"/>
  <c r="O376" i="7"/>
  <c r="O374" i="7"/>
  <c r="O608" i="7"/>
  <c r="O603" i="7"/>
  <c r="O489" i="7"/>
  <c r="O488" i="7"/>
  <c r="O487" i="7"/>
  <c r="O486" i="7"/>
  <c r="O485" i="7"/>
  <c r="O484" i="7"/>
  <c r="O504" i="7"/>
  <c r="O368" i="7"/>
  <c r="O353" i="7"/>
  <c r="O352" i="7"/>
  <c r="O351" i="7"/>
  <c r="O350" i="7"/>
  <c r="O349" i="7"/>
  <c r="O348" i="7"/>
  <c r="O32" i="7"/>
  <c r="N509" i="7"/>
  <c r="N513" i="7"/>
  <c r="N517" i="7"/>
  <c r="N537" i="7"/>
  <c r="N541" i="7"/>
  <c r="N561" i="7"/>
  <c r="N565" i="7"/>
  <c r="N569" i="7"/>
  <c r="N34" i="7"/>
  <c r="N690" i="7"/>
  <c r="N675" i="7" s="1"/>
  <c r="N104" i="7" s="1"/>
  <c r="N722" i="7"/>
  <c r="N707" i="7" s="1"/>
  <c r="N105" i="7" s="1"/>
  <c r="N754" i="7"/>
  <c r="N739" i="7" s="1"/>
  <c r="N106" i="7" s="1"/>
  <c r="M117" i="7" l="1"/>
  <c r="N107" i="7"/>
  <c r="N140" i="7" s="1"/>
  <c r="T252" i="7"/>
  <c r="T94" i="7"/>
  <c r="T127" i="7"/>
  <c r="T128" i="7" s="1"/>
  <c r="T164" i="7"/>
  <c r="U56" i="7"/>
  <c r="AO137" i="1"/>
  <c r="U669" i="7"/>
  <c r="U607" i="7"/>
  <c r="U602" i="7"/>
  <c r="U648" i="7"/>
  <c r="U644" i="7"/>
  <c r="U640" i="7"/>
  <c r="U636" i="7"/>
  <c r="U33" i="7"/>
  <c r="U37" i="7"/>
  <c r="U30" i="7"/>
  <c r="U753" i="7"/>
  <c r="U751" i="7"/>
  <c r="U749" i="7"/>
  <c r="U747" i="7"/>
  <c r="U745" i="7"/>
  <c r="U744" i="7"/>
  <c r="U721" i="7"/>
  <c r="U752" i="7"/>
  <c r="U748" i="7"/>
  <c r="U750" i="7"/>
  <c r="U746" i="7"/>
  <c r="U720" i="7"/>
  <c r="U718" i="7"/>
  <c r="U716" i="7"/>
  <c r="U719" i="7"/>
  <c r="U717" i="7"/>
  <c r="U715" i="7"/>
  <c r="U713" i="7"/>
  <c r="U689" i="7"/>
  <c r="U688" i="7"/>
  <c r="U714" i="7"/>
  <c r="U685" i="7"/>
  <c r="U683" i="7"/>
  <c r="U681" i="7"/>
  <c r="U687" i="7"/>
  <c r="U712" i="7"/>
  <c r="U686" i="7"/>
  <c r="U684" i="7"/>
  <c r="U682" i="7"/>
  <c r="U680" i="7"/>
  <c r="U58" i="7"/>
  <c r="U23" i="7"/>
  <c r="U281" i="7" s="1"/>
  <c r="P657" i="7"/>
  <c r="P141" i="7" s="1"/>
  <c r="O34" i="7"/>
  <c r="O690" i="7"/>
  <c r="O675" i="7" s="1"/>
  <c r="O104" i="7" s="1"/>
  <c r="O722" i="7"/>
  <c r="O707" i="7" s="1"/>
  <c r="O105" i="7" s="1"/>
  <c r="O537" i="7"/>
  <c r="O516" i="7"/>
  <c r="O565" i="7"/>
  <c r="O512" i="7"/>
  <c r="O540" i="7"/>
  <c r="P765" i="7"/>
  <c r="P764" i="7"/>
  <c r="P763" i="7"/>
  <c r="P762" i="7"/>
  <c r="P761" i="7"/>
  <c r="P759" i="7"/>
  <c r="P757" i="7"/>
  <c r="P433" i="7"/>
  <c r="P432" i="7"/>
  <c r="P431" i="7"/>
  <c r="P430" i="7"/>
  <c r="P429" i="7"/>
  <c r="P428" i="7"/>
  <c r="P427" i="7"/>
  <c r="P426" i="7"/>
  <c r="P425" i="7"/>
  <c r="P424" i="7"/>
  <c r="P733" i="7"/>
  <c r="P732" i="7"/>
  <c r="P731" i="7"/>
  <c r="P730" i="7"/>
  <c r="P729" i="7"/>
  <c r="P728" i="7"/>
  <c r="P727" i="7"/>
  <c r="P726" i="7"/>
  <c r="P725" i="7"/>
  <c r="P407" i="7"/>
  <c r="P406" i="7"/>
  <c r="P405" i="7"/>
  <c r="P404" i="7"/>
  <c r="P403" i="7"/>
  <c r="P402" i="7"/>
  <c r="P401" i="7"/>
  <c r="P400" i="7"/>
  <c r="P399" i="7"/>
  <c r="P398" i="7"/>
  <c r="P701" i="7"/>
  <c r="P700" i="7"/>
  <c r="P699" i="7"/>
  <c r="P698" i="7"/>
  <c r="P697" i="7"/>
  <c r="P696" i="7"/>
  <c r="P695" i="7"/>
  <c r="P694" i="7"/>
  <c r="P382" i="7"/>
  <c r="P381" i="7"/>
  <c r="P380" i="7"/>
  <c r="P379" i="7"/>
  <c r="P378" i="7"/>
  <c r="P377" i="7"/>
  <c r="P376" i="7"/>
  <c r="P375" i="7"/>
  <c r="P374" i="7"/>
  <c r="P608" i="7"/>
  <c r="P603" i="7"/>
  <c r="P504" i="7"/>
  <c r="P489" i="7"/>
  <c r="P488" i="7"/>
  <c r="P487" i="7"/>
  <c r="P486" i="7"/>
  <c r="P485" i="7"/>
  <c r="P484" i="7"/>
  <c r="P353" i="7"/>
  <c r="P352" i="7"/>
  <c r="P351" i="7"/>
  <c r="P350" i="7"/>
  <c r="P349" i="7"/>
  <c r="P348" i="7"/>
  <c r="P368" i="7"/>
  <c r="P32" i="7"/>
  <c r="O513" i="7"/>
  <c r="O514" i="7"/>
  <c r="O538" i="7"/>
  <c r="O562" i="7"/>
  <c r="O566" i="7"/>
  <c r="O570" i="7"/>
  <c r="O539" i="7"/>
  <c r="O543" i="7"/>
  <c r="O567" i="7"/>
  <c r="O505" i="7"/>
  <c r="O515" i="7"/>
  <c r="O517" i="7"/>
  <c r="O536" i="7"/>
  <c r="O544" i="7"/>
  <c r="O564" i="7"/>
  <c r="O568" i="7"/>
  <c r="O541" i="7"/>
  <c r="O561" i="7"/>
  <c r="O569" i="7"/>
  <c r="O373" i="7"/>
  <c r="O754" i="7"/>
  <c r="O739" i="7" s="1"/>
  <c r="O106" i="7" s="1"/>
  <c r="O369" i="7"/>
  <c r="O511" i="7"/>
  <c r="O510" i="7"/>
  <c r="O518" i="7"/>
  <c r="O542" i="7"/>
  <c r="O535" i="7"/>
  <c r="O563" i="7"/>
  <c r="N117" i="7" l="1"/>
  <c r="O107" i="7"/>
  <c r="O140" i="7" s="1"/>
  <c r="U252" i="7"/>
  <c r="U94" i="7"/>
  <c r="U127" i="7"/>
  <c r="U128" i="7" s="1"/>
  <c r="U164" i="7"/>
  <c r="V56" i="7"/>
  <c r="AP137" i="1"/>
  <c r="V669" i="7"/>
  <c r="V602" i="7"/>
  <c r="V648" i="7"/>
  <c r="V644" i="7"/>
  <c r="V640" i="7"/>
  <c r="V636" i="7"/>
  <c r="V607" i="7"/>
  <c r="V33" i="7"/>
  <c r="V37" i="7"/>
  <c r="V30" i="7"/>
  <c r="V753" i="7"/>
  <c r="V751" i="7"/>
  <c r="V749" i="7"/>
  <c r="V747" i="7"/>
  <c r="V720" i="7"/>
  <c r="V719" i="7"/>
  <c r="V718" i="7"/>
  <c r="V717" i="7"/>
  <c r="V716" i="7"/>
  <c r="V715" i="7"/>
  <c r="V714" i="7"/>
  <c r="V713" i="7"/>
  <c r="V712" i="7"/>
  <c r="V689" i="7"/>
  <c r="V688" i="7"/>
  <c r="V687" i="7"/>
  <c r="V746" i="7"/>
  <c r="V721" i="7"/>
  <c r="V752" i="7"/>
  <c r="V748" i="7"/>
  <c r="V744" i="7"/>
  <c r="V750" i="7"/>
  <c r="V745" i="7"/>
  <c r="V685" i="7"/>
  <c r="V683" i="7"/>
  <c r="V681" i="7"/>
  <c r="V686" i="7"/>
  <c r="V684" i="7"/>
  <c r="V682" i="7"/>
  <c r="V680" i="7"/>
  <c r="V58" i="7"/>
  <c r="V23" i="7"/>
  <c r="V281" i="7" s="1"/>
  <c r="Q657" i="7"/>
  <c r="Q141" i="7" s="1"/>
  <c r="O509" i="7"/>
  <c r="P514" i="7"/>
  <c r="P369" i="7"/>
  <c r="P512" i="7"/>
  <c r="P513" i="7"/>
  <c r="P517" i="7"/>
  <c r="P537" i="7"/>
  <c r="P541" i="7"/>
  <c r="P561" i="7"/>
  <c r="P565" i="7"/>
  <c r="P569" i="7"/>
  <c r="P538" i="7"/>
  <c r="P542" i="7"/>
  <c r="P562" i="7"/>
  <c r="P566" i="7"/>
  <c r="P570" i="7"/>
  <c r="P34" i="7"/>
  <c r="P373" i="7"/>
  <c r="P690" i="7"/>
  <c r="P675" i="7" s="1"/>
  <c r="P104" i="7" s="1"/>
  <c r="P722" i="7"/>
  <c r="P707" i="7" s="1"/>
  <c r="P105" i="7" s="1"/>
  <c r="P754" i="7"/>
  <c r="P739" i="7" s="1"/>
  <c r="P106" i="7" s="1"/>
  <c r="Q765" i="7"/>
  <c r="Q764" i="7"/>
  <c r="Q763" i="7"/>
  <c r="Q762" i="7"/>
  <c r="Q761" i="7"/>
  <c r="Q759" i="7"/>
  <c r="Q757" i="7"/>
  <c r="Q433" i="7"/>
  <c r="Q432" i="7"/>
  <c r="Q431" i="7"/>
  <c r="Q430" i="7"/>
  <c r="Q429" i="7"/>
  <c r="Q428" i="7"/>
  <c r="Q427" i="7"/>
  <c r="Q426" i="7"/>
  <c r="Q425" i="7"/>
  <c r="Q407" i="7"/>
  <c r="Q406" i="7"/>
  <c r="Q405" i="7"/>
  <c r="Q404" i="7"/>
  <c r="Q403" i="7"/>
  <c r="Q402" i="7"/>
  <c r="Q401" i="7"/>
  <c r="Q424" i="7"/>
  <c r="Q733" i="7"/>
  <c r="Q732" i="7"/>
  <c r="Q731" i="7"/>
  <c r="Q730" i="7"/>
  <c r="Q729" i="7"/>
  <c r="Q728" i="7"/>
  <c r="Q727" i="7"/>
  <c r="Q726" i="7"/>
  <c r="Q725" i="7"/>
  <c r="Q400" i="7"/>
  <c r="Q382" i="7"/>
  <c r="Q381" i="7"/>
  <c r="Q380" i="7"/>
  <c r="Q379" i="7"/>
  <c r="Q378" i="7"/>
  <c r="Q377" i="7"/>
  <c r="Q399" i="7"/>
  <c r="Q701" i="7"/>
  <c r="Q700" i="7"/>
  <c r="Q699" i="7"/>
  <c r="Q698" i="7"/>
  <c r="Q697" i="7"/>
  <c r="Q696" i="7"/>
  <c r="Q695" i="7"/>
  <c r="Q694" i="7"/>
  <c r="Q376" i="7"/>
  <c r="Q375" i="7"/>
  <c r="Q374" i="7"/>
  <c r="Q608" i="7"/>
  <c r="Q603" i="7"/>
  <c r="Q489" i="7"/>
  <c r="Q488" i="7"/>
  <c r="Q487" i="7"/>
  <c r="Q486" i="7"/>
  <c r="Q485" i="7"/>
  <c r="Q484" i="7"/>
  <c r="Q504" i="7"/>
  <c r="Q368" i="7"/>
  <c r="Q353" i="7"/>
  <c r="Q352" i="7"/>
  <c r="Q351" i="7"/>
  <c r="Q350" i="7"/>
  <c r="Q349" i="7"/>
  <c r="Q348" i="7"/>
  <c r="Q32" i="7"/>
  <c r="P510" i="7"/>
  <c r="P518" i="7"/>
  <c r="P516" i="7"/>
  <c r="P511" i="7"/>
  <c r="P515" i="7"/>
  <c r="P535" i="7"/>
  <c r="P539" i="7"/>
  <c r="P543" i="7"/>
  <c r="P563" i="7"/>
  <c r="P567" i="7"/>
  <c r="P505" i="7"/>
  <c r="P536" i="7"/>
  <c r="P540" i="7"/>
  <c r="P544" i="7"/>
  <c r="P564" i="7"/>
  <c r="P568" i="7"/>
  <c r="O117" i="7" l="1"/>
  <c r="P107" i="7"/>
  <c r="P140" i="7" s="1"/>
  <c r="V252" i="7"/>
  <c r="V94" i="7"/>
  <c r="V127" i="7"/>
  <c r="V128" i="7" s="1"/>
  <c r="V164" i="7"/>
  <c r="W56" i="7"/>
  <c r="AQ137" i="1"/>
  <c r="W669" i="7"/>
  <c r="W607" i="7"/>
  <c r="W602" i="7"/>
  <c r="W640" i="7"/>
  <c r="W648" i="7"/>
  <c r="W644" i="7"/>
  <c r="W636" i="7"/>
  <c r="W33" i="7"/>
  <c r="W37" i="7"/>
  <c r="W30" i="7"/>
  <c r="W753" i="7"/>
  <c r="W752" i="7"/>
  <c r="W751" i="7"/>
  <c r="W750" i="7"/>
  <c r="W749" i="7"/>
  <c r="W748" i="7"/>
  <c r="W747" i="7"/>
  <c r="W746" i="7"/>
  <c r="W745" i="7"/>
  <c r="W721" i="7"/>
  <c r="W744" i="7"/>
  <c r="W720" i="7"/>
  <c r="W718" i="7"/>
  <c r="W719" i="7"/>
  <c r="W717" i="7"/>
  <c r="W715" i="7"/>
  <c r="W713" i="7"/>
  <c r="W689" i="7"/>
  <c r="W687" i="7"/>
  <c r="W714" i="7"/>
  <c r="W686" i="7"/>
  <c r="W684" i="7"/>
  <c r="W682" i="7"/>
  <c r="W680" i="7"/>
  <c r="W716" i="7"/>
  <c r="W712" i="7"/>
  <c r="W688" i="7"/>
  <c r="W685" i="7"/>
  <c r="W683" i="7"/>
  <c r="W681" i="7"/>
  <c r="W23" i="7"/>
  <c r="W281" i="7" s="1"/>
  <c r="W58" i="7"/>
  <c r="R657" i="7"/>
  <c r="R141" i="7" s="1"/>
  <c r="Q373" i="7"/>
  <c r="Q722" i="7"/>
  <c r="Q707" i="7" s="1"/>
  <c r="Q105" i="7" s="1"/>
  <c r="Q34" i="7"/>
  <c r="Q398" i="7"/>
  <c r="Q690" i="7"/>
  <c r="Q675" i="7" s="1"/>
  <c r="Q104" i="7" s="1"/>
  <c r="Q513" i="7"/>
  <c r="Q515" i="7"/>
  <c r="Q512" i="7"/>
  <c r="Q516" i="7"/>
  <c r="Q536" i="7"/>
  <c r="Q540" i="7"/>
  <c r="Q544" i="7"/>
  <c r="Q564" i="7"/>
  <c r="Q568" i="7"/>
  <c r="Q537" i="7"/>
  <c r="Q541" i="7"/>
  <c r="Q561" i="7"/>
  <c r="Q565" i="7"/>
  <c r="Q569" i="7"/>
  <c r="P509" i="7"/>
  <c r="Q754" i="7"/>
  <c r="Q739" i="7" s="1"/>
  <c r="Q106" i="7" s="1"/>
  <c r="R765" i="7"/>
  <c r="R764" i="7"/>
  <c r="R763" i="7"/>
  <c r="R762" i="7"/>
  <c r="R760" i="7"/>
  <c r="R758" i="7"/>
  <c r="R757" i="7"/>
  <c r="R433" i="7"/>
  <c r="R432" i="7"/>
  <c r="R431" i="7"/>
  <c r="R430" i="7"/>
  <c r="R429" i="7"/>
  <c r="R428" i="7"/>
  <c r="R427" i="7"/>
  <c r="R426" i="7"/>
  <c r="R425" i="7"/>
  <c r="R424" i="7"/>
  <c r="R733" i="7"/>
  <c r="R732" i="7"/>
  <c r="R731" i="7"/>
  <c r="R730" i="7"/>
  <c r="R729" i="7"/>
  <c r="R728" i="7"/>
  <c r="R727" i="7"/>
  <c r="R726" i="7"/>
  <c r="R724" i="7"/>
  <c r="R407" i="7"/>
  <c r="R406" i="7"/>
  <c r="R405" i="7"/>
  <c r="R404" i="7"/>
  <c r="R403" i="7"/>
  <c r="R402" i="7"/>
  <c r="R401" i="7"/>
  <c r="R400" i="7"/>
  <c r="R399" i="7"/>
  <c r="R398" i="7"/>
  <c r="R701" i="7"/>
  <c r="R700" i="7"/>
  <c r="R699" i="7"/>
  <c r="R698" i="7"/>
  <c r="R697" i="7"/>
  <c r="R696" i="7"/>
  <c r="R695" i="7"/>
  <c r="R694" i="7"/>
  <c r="R692" i="7"/>
  <c r="R382" i="7"/>
  <c r="R381" i="7"/>
  <c r="R380" i="7"/>
  <c r="R379" i="7"/>
  <c r="R378" i="7"/>
  <c r="R377" i="7"/>
  <c r="R376" i="7"/>
  <c r="R375" i="7"/>
  <c r="R374" i="7"/>
  <c r="R608" i="7"/>
  <c r="R603" i="7"/>
  <c r="R504" i="7"/>
  <c r="R489" i="7"/>
  <c r="R488" i="7"/>
  <c r="R487" i="7"/>
  <c r="R486" i="7"/>
  <c r="R485" i="7"/>
  <c r="R484" i="7"/>
  <c r="R353" i="7"/>
  <c r="R352" i="7"/>
  <c r="R351" i="7"/>
  <c r="R350" i="7"/>
  <c r="R349" i="7"/>
  <c r="R348" i="7"/>
  <c r="R368" i="7"/>
  <c r="R32" i="7"/>
  <c r="Q369" i="7"/>
  <c r="Q517" i="7"/>
  <c r="Q511" i="7"/>
  <c r="Q510" i="7"/>
  <c r="Q514" i="7"/>
  <c r="Q518" i="7"/>
  <c r="Q538" i="7"/>
  <c r="Q542" i="7"/>
  <c r="Q562" i="7"/>
  <c r="Q566" i="7"/>
  <c r="Q570" i="7"/>
  <c r="Q539" i="7"/>
  <c r="Q543" i="7"/>
  <c r="Q563" i="7"/>
  <c r="Q567" i="7"/>
  <c r="Q505" i="7"/>
  <c r="P117" i="7" l="1"/>
  <c r="W252" i="7"/>
  <c r="W94" i="7"/>
  <c r="Q107" i="7"/>
  <c r="W127" i="7"/>
  <c r="W128" i="7" s="1"/>
  <c r="W164" i="7"/>
  <c r="X56" i="7"/>
  <c r="X669" i="7"/>
  <c r="X640" i="7"/>
  <c r="X607" i="7"/>
  <c r="X602" i="7"/>
  <c r="X648" i="7"/>
  <c r="X644" i="7"/>
  <c r="X636" i="7"/>
  <c r="X33" i="7"/>
  <c r="X37" i="7"/>
  <c r="X30" i="7"/>
  <c r="Q535" i="7"/>
  <c r="Q509" i="7"/>
  <c r="X752" i="7"/>
  <c r="X750" i="7"/>
  <c r="X748" i="7"/>
  <c r="X746" i="7"/>
  <c r="X753" i="7"/>
  <c r="X749" i="7"/>
  <c r="X745" i="7"/>
  <c r="X751" i="7"/>
  <c r="X744" i="7"/>
  <c r="X720" i="7"/>
  <c r="X718" i="7"/>
  <c r="X714" i="7"/>
  <c r="X747" i="7"/>
  <c r="X719" i="7"/>
  <c r="X717" i="7"/>
  <c r="X715" i="7"/>
  <c r="X721" i="7"/>
  <c r="X686" i="7"/>
  <c r="X685" i="7"/>
  <c r="X684" i="7"/>
  <c r="X683" i="7"/>
  <c r="X682" i="7"/>
  <c r="X681" i="7"/>
  <c r="X680" i="7"/>
  <c r="X716" i="7"/>
  <c r="X712" i="7"/>
  <c r="X689" i="7"/>
  <c r="X687" i="7"/>
  <c r="X688" i="7"/>
  <c r="X713" i="7"/>
  <c r="X23" i="7"/>
  <c r="X281" i="7" s="1"/>
  <c r="X58" i="7"/>
  <c r="S657" i="7"/>
  <c r="S141" i="7" s="1"/>
  <c r="B479" i="7"/>
  <c r="E458" i="7" s="1"/>
  <c r="E457" i="7" s="1"/>
  <c r="R373" i="7"/>
  <c r="S765" i="7"/>
  <c r="S764" i="7"/>
  <c r="S763" i="7"/>
  <c r="S762" i="7"/>
  <c r="S760" i="7"/>
  <c r="S758" i="7"/>
  <c r="S433" i="7"/>
  <c r="S432" i="7"/>
  <c r="S431" i="7"/>
  <c r="S430" i="7"/>
  <c r="S429" i="7"/>
  <c r="S428" i="7"/>
  <c r="S427" i="7"/>
  <c r="S426" i="7"/>
  <c r="S757" i="7"/>
  <c r="S424" i="7"/>
  <c r="S407" i="7"/>
  <c r="S406" i="7"/>
  <c r="S405" i="7"/>
  <c r="S404" i="7"/>
  <c r="S403" i="7"/>
  <c r="S402" i="7"/>
  <c r="S401" i="7"/>
  <c r="S425" i="7"/>
  <c r="S733" i="7"/>
  <c r="S732" i="7"/>
  <c r="S731" i="7"/>
  <c r="S730" i="7"/>
  <c r="S729" i="7"/>
  <c r="S728" i="7"/>
  <c r="S727" i="7"/>
  <c r="S726" i="7"/>
  <c r="S724" i="7"/>
  <c r="S382" i="7"/>
  <c r="S381" i="7"/>
  <c r="S380" i="7"/>
  <c r="S379" i="7"/>
  <c r="S378" i="7"/>
  <c r="S377" i="7"/>
  <c r="S400" i="7"/>
  <c r="S399" i="7"/>
  <c r="S398" i="7"/>
  <c r="S701" i="7"/>
  <c r="S700" i="7"/>
  <c r="S699" i="7"/>
  <c r="S698" i="7"/>
  <c r="S697" i="7"/>
  <c r="S696" i="7"/>
  <c r="S695" i="7"/>
  <c r="S694" i="7"/>
  <c r="S692" i="7"/>
  <c r="S375" i="7"/>
  <c r="S376" i="7"/>
  <c r="S374" i="7"/>
  <c r="S608" i="7"/>
  <c r="S603" i="7"/>
  <c r="S489" i="7"/>
  <c r="S488" i="7"/>
  <c r="S487" i="7"/>
  <c r="S486" i="7"/>
  <c r="S485" i="7"/>
  <c r="S484" i="7"/>
  <c r="S504" i="7"/>
  <c r="S368" i="7"/>
  <c r="S353" i="7"/>
  <c r="S352" i="7"/>
  <c r="S351" i="7"/>
  <c r="S350" i="7"/>
  <c r="S349" i="7"/>
  <c r="S348" i="7"/>
  <c r="S32" i="7"/>
  <c r="R516" i="7"/>
  <c r="R514" i="7"/>
  <c r="R513" i="7"/>
  <c r="R517" i="7"/>
  <c r="R537" i="7"/>
  <c r="R541" i="7"/>
  <c r="R561" i="7"/>
  <c r="R565" i="7"/>
  <c r="R569" i="7"/>
  <c r="R538" i="7"/>
  <c r="R542" i="7"/>
  <c r="R562" i="7"/>
  <c r="R566" i="7"/>
  <c r="R570" i="7"/>
  <c r="R34" i="7"/>
  <c r="R690" i="7"/>
  <c r="R675" i="7" s="1"/>
  <c r="R104" i="7" s="1"/>
  <c r="R722" i="7"/>
  <c r="R707" i="7" s="1"/>
  <c r="R105" i="7" s="1"/>
  <c r="R754" i="7"/>
  <c r="R739" i="7" s="1"/>
  <c r="R106" i="7" s="1"/>
  <c r="R512" i="7"/>
  <c r="R369" i="7"/>
  <c r="R510" i="7"/>
  <c r="R518" i="7"/>
  <c r="R511" i="7"/>
  <c r="R515" i="7"/>
  <c r="R535" i="7"/>
  <c r="R539" i="7"/>
  <c r="R543" i="7"/>
  <c r="R563" i="7"/>
  <c r="R567" i="7"/>
  <c r="R505" i="7"/>
  <c r="R536" i="7"/>
  <c r="R540" i="7"/>
  <c r="R544" i="7"/>
  <c r="R564" i="7"/>
  <c r="R568" i="7"/>
  <c r="Q117" i="7" l="1"/>
  <c r="Q140" i="7"/>
  <c r="R107" i="7"/>
  <c r="R140" i="7" s="1"/>
  <c r="X252" i="7"/>
  <c r="X94" i="7"/>
  <c r="X127" i="7"/>
  <c r="X128" i="7" s="1"/>
  <c r="X164" i="7"/>
  <c r="Y56" i="7"/>
  <c r="Y669" i="7"/>
  <c r="Y607" i="7"/>
  <c r="Y602" i="7"/>
  <c r="Y648" i="7"/>
  <c r="Y644" i="7"/>
  <c r="Y640" i="7"/>
  <c r="Y636" i="7"/>
  <c r="Y33" i="7"/>
  <c r="Y37" i="7"/>
  <c r="Y30" i="7"/>
  <c r="E454" i="7"/>
  <c r="B480" i="7"/>
  <c r="E315" i="7"/>
  <c r="E318" i="7"/>
  <c r="E320" i="7"/>
  <c r="E319" i="7"/>
  <c r="E316" i="7"/>
  <c r="E317" i="7"/>
  <c r="R509" i="7"/>
  <c r="Y744" i="7"/>
  <c r="Y721" i="7"/>
  <c r="Y752" i="7"/>
  <c r="Y750" i="7"/>
  <c r="Y748" i="7"/>
  <c r="Y746" i="7"/>
  <c r="Y747" i="7"/>
  <c r="Y753" i="7"/>
  <c r="Y719" i="7"/>
  <c r="Y717" i="7"/>
  <c r="Y749" i="7"/>
  <c r="Y745" i="7"/>
  <c r="Y751" i="7"/>
  <c r="Y720" i="7"/>
  <c r="Y718" i="7"/>
  <c r="Y716" i="7"/>
  <c r="Y714" i="7"/>
  <c r="Y712" i="7"/>
  <c r="Y688" i="7"/>
  <c r="Y689" i="7"/>
  <c r="Y687" i="7"/>
  <c r="Y686" i="7"/>
  <c r="Y684" i="7"/>
  <c r="Y682" i="7"/>
  <c r="Y680" i="7"/>
  <c r="Y715" i="7"/>
  <c r="Y713" i="7"/>
  <c r="Y685" i="7"/>
  <c r="Y683" i="7"/>
  <c r="Y681" i="7"/>
  <c r="Y58" i="7"/>
  <c r="Y23" i="7"/>
  <c r="Y281" i="7" s="1"/>
  <c r="T657" i="7"/>
  <c r="T141" i="7" s="1"/>
  <c r="S373" i="7"/>
  <c r="T765" i="7"/>
  <c r="T764" i="7"/>
  <c r="T763" i="7"/>
  <c r="T762" i="7"/>
  <c r="T760" i="7"/>
  <c r="T758" i="7"/>
  <c r="T757" i="7"/>
  <c r="T433" i="7"/>
  <c r="T432" i="7"/>
  <c r="T431" i="7"/>
  <c r="T430" i="7"/>
  <c r="T429" i="7"/>
  <c r="T428" i="7"/>
  <c r="T427" i="7"/>
  <c r="T426" i="7"/>
  <c r="T425" i="7"/>
  <c r="T424" i="7"/>
  <c r="T733" i="7"/>
  <c r="T732" i="7"/>
  <c r="T731" i="7"/>
  <c r="T730" i="7"/>
  <c r="T729" i="7"/>
  <c r="T728" i="7"/>
  <c r="T727" i="7"/>
  <c r="T726" i="7"/>
  <c r="T724" i="7"/>
  <c r="T407" i="7"/>
  <c r="T406" i="7"/>
  <c r="T405" i="7"/>
  <c r="T404" i="7"/>
  <c r="T403" i="7"/>
  <c r="T402" i="7"/>
  <c r="T401" i="7"/>
  <c r="T400" i="7"/>
  <c r="T399" i="7"/>
  <c r="T398" i="7"/>
  <c r="T701" i="7"/>
  <c r="T700" i="7"/>
  <c r="T699" i="7"/>
  <c r="T698" i="7"/>
  <c r="T697" i="7"/>
  <c r="T696" i="7"/>
  <c r="T695" i="7"/>
  <c r="T694" i="7"/>
  <c r="T692" i="7"/>
  <c r="T382" i="7"/>
  <c r="T381" i="7"/>
  <c r="T380" i="7"/>
  <c r="T379" i="7"/>
  <c r="T378" i="7"/>
  <c r="T377" i="7"/>
  <c r="T376" i="7"/>
  <c r="T375" i="7"/>
  <c r="T374" i="7"/>
  <c r="T608" i="7"/>
  <c r="T603" i="7"/>
  <c r="T504" i="7"/>
  <c r="T489" i="7"/>
  <c r="T488" i="7"/>
  <c r="T487" i="7"/>
  <c r="T486" i="7"/>
  <c r="T485" i="7"/>
  <c r="T484" i="7"/>
  <c r="T353" i="7"/>
  <c r="T352" i="7"/>
  <c r="T351" i="7"/>
  <c r="T350" i="7"/>
  <c r="T349" i="7"/>
  <c r="T348" i="7"/>
  <c r="T368" i="7"/>
  <c r="T32" i="7"/>
  <c r="S369" i="7"/>
  <c r="S511" i="7"/>
  <c r="S513" i="7"/>
  <c r="S510" i="7"/>
  <c r="S514" i="7"/>
  <c r="S518" i="7"/>
  <c r="S538" i="7"/>
  <c r="S542" i="7"/>
  <c r="S562" i="7"/>
  <c r="S566" i="7"/>
  <c r="S570" i="7"/>
  <c r="S535" i="7"/>
  <c r="S539" i="7"/>
  <c r="S543" i="7"/>
  <c r="S563" i="7"/>
  <c r="S567" i="7"/>
  <c r="S505" i="7"/>
  <c r="S34" i="7"/>
  <c r="S690" i="7"/>
  <c r="S675" i="7" s="1"/>
  <c r="S104" i="7" s="1"/>
  <c r="S722" i="7"/>
  <c r="S707" i="7" s="1"/>
  <c r="S105" i="7" s="1"/>
  <c r="S515" i="7"/>
  <c r="S517" i="7"/>
  <c r="S512" i="7"/>
  <c r="S516" i="7"/>
  <c r="S536" i="7"/>
  <c r="S540" i="7"/>
  <c r="S544" i="7"/>
  <c r="S564" i="7"/>
  <c r="S568" i="7"/>
  <c r="S537" i="7"/>
  <c r="S541" i="7"/>
  <c r="S561" i="7"/>
  <c r="S565" i="7"/>
  <c r="S569" i="7"/>
  <c r="S754" i="7"/>
  <c r="S739" i="7" s="1"/>
  <c r="S106" i="7" s="1"/>
  <c r="R117" i="7" l="1"/>
  <c r="S107" i="7"/>
  <c r="S140" i="7" s="1"/>
  <c r="Y252" i="7"/>
  <c r="Y94" i="7"/>
  <c r="Y127" i="7"/>
  <c r="Y128" i="7" s="1"/>
  <c r="Y164" i="7"/>
  <c r="Z56" i="7"/>
  <c r="Z669" i="7"/>
  <c r="Z607" i="7"/>
  <c r="Z636" i="7"/>
  <c r="Z602" i="7"/>
  <c r="Z648" i="7"/>
  <c r="Z644" i="7"/>
  <c r="Z640" i="7"/>
  <c r="Z33" i="7"/>
  <c r="Z37" i="7"/>
  <c r="Z30" i="7"/>
  <c r="E451" i="7"/>
  <c r="E453" i="7"/>
  <c r="E452" i="7"/>
  <c r="E456" i="7"/>
  <c r="E455" i="7"/>
  <c r="S509" i="7"/>
  <c r="Z753" i="7"/>
  <c r="Z751" i="7"/>
  <c r="Z749" i="7"/>
  <c r="Z747" i="7"/>
  <c r="Z745" i="7"/>
  <c r="Z750" i="7"/>
  <c r="Z746" i="7"/>
  <c r="Z744" i="7"/>
  <c r="Z720" i="7"/>
  <c r="Z719" i="7"/>
  <c r="Z718" i="7"/>
  <c r="Z717" i="7"/>
  <c r="Z716" i="7"/>
  <c r="Z715" i="7"/>
  <c r="Z714" i="7"/>
  <c r="Z713" i="7"/>
  <c r="Z712" i="7"/>
  <c r="Z689" i="7"/>
  <c r="Z688" i="7"/>
  <c r="Z687" i="7"/>
  <c r="Z752" i="7"/>
  <c r="Z748" i="7"/>
  <c r="Z721" i="7"/>
  <c r="Z680" i="7"/>
  <c r="Z685" i="7"/>
  <c r="Z683" i="7"/>
  <c r="Z681" i="7"/>
  <c r="Z686" i="7"/>
  <c r="Z684" i="7"/>
  <c r="Z682" i="7"/>
  <c r="Z58" i="7"/>
  <c r="Z23" i="7"/>
  <c r="Z281" i="7" s="1"/>
  <c r="U657" i="7"/>
  <c r="U141" i="7" s="1"/>
  <c r="T373" i="7"/>
  <c r="T754" i="7"/>
  <c r="T739" i="7" s="1"/>
  <c r="T106" i="7" s="1"/>
  <c r="U765" i="7"/>
  <c r="U764" i="7"/>
  <c r="U763" i="7"/>
  <c r="U761" i="7"/>
  <c r="U760" i="7"/>
  <c r="U758" i="7"/>
  <c r="U757" i="7"/>
  <c r="U433" i="7"/>
  <c r="U432" i="7"/>
  <c r="U431" i="7"/>
  <c r="U430" i="7"/>
  <c r="U429" i="7"/>
  <c r="U428" i="7"/>
  <c r="U427" i="7"/>
  <c r="U426" i="7"/>
  <c r="U425" i="7"/>
  <c r="U407" i="7"/>
  <c r="U406" i="7"/>
  <c r="U405" i="7"/>
  <c r="U404" i="7"/>
  <c r="U403" i="7"/>
  <c r="U402" i="7"/>
  <c r="U401" i="7"/>
  <c r="U424" i="7"/>
  <c r="U733" i="7"/>
  <c r="U732" i="7"/>
  <c r="U731" i="7"/>
  <c r="U730" i="7"/>
  <c r="U729" i="7"/>
  <c r="U728" i="7"/>
  <c r="U727" i="7"/>
  <c r="U726" i="7"/>
  <c r="U724" i="7"/>
  <c r="U400" i="7"/>
  <c r="U382" i="7"/>
  <c r="U381" i="7"/>
  <c r="U380" i="7"/>
  <c r="U379" i="7"/>
  <c r="U378" i="7"/>
  <c r="U377" i="7"/>
  <c r="U399" i="7"/>
  <c r="U398" i="7"/>
  <c r="U701" i="7"/>
  <c r="U700" i="7"/>
  <c r="U699" i="7"/>
  <c r="U698" i="7"/>
  <c r="U697" i="7"/>
  <c r="U696" i="7"/>
  <c r="U695" i="7"/>
  <c r="U694" i="7"/>
  <c r="U692" i="7"/>
  <c r="U376" i="7"/>
  <c r="U375" i="7"/>
  <c r="U374" i="7"/>
  <c r="U608" i="7"/>
  <c r="U603" i="7"/>
  <c r="U489" i="7"/>
  <c r="U488" i="7"/>
  <c r="U487" i="7"/>
  <c r="U486" i="7"/>
  <c r="U485" i="7"/>
  <c r="U484" i="7"/>
  <c r="U504" i="7"/>
  <c r="U368" i="7"/>
  <c r="U353" i="7"/>
  <c r="U352" i="7"/>
  <c r="U351" i="7"/>
  <c r="U350" i="7"/>
  <c r="U349" i="7"/>
  <c r="U348" i="7"/>
  <c r="U32" i="7"/>
  <c r="T514" i="7"/>
  <c r="T369" i="7"/>
  <c r="T512" i="7"/>
  <c r="T513" i="7"/>
  <c r="T517" i="7"/>
  <c r="T537" i="7"/>
  <c r="T541" i="7"/>
  <c r="T561" i="7"/>
  <c r="T565" i="7"/>
  <c r="T569" i="7"/>
  <c r="T538" i="7"/>
  <c r="T542" i="7"/>
  <c r="T562" i="7"/>
  <c r="T566" i="7"/>
  <c r="T570" i="7"/>
  <c r="T34" i="7"/>
  <c r="T690" i="7"/>
  <c r="T675" i="7" s="1"/>
  <c r="T104" i="7" s="1"/>
  <c r="T722" i="7"/>
  <c r="T707" i="7" s="1"/>
  <c r="T105" i="7" s="1"/>
  <c r="T510" i="7"/>
  <c r="T518" i="7"/>
  <c r="T516" i="7"/>
  <c r="T511" i="7"/>
  <c r="T515" i="7"/>
  <c r="T535" i="7"/>
  <c r="T539" i="7"/>
  <c r="T543" i="7"/>
  <c r="T563" i="7"/>
  <c r="T567" i="7"/>
  <c r="T505" i="7"/>
  <c r="T536" i="7"/>
  <c r="T540" i="7"/>
  <c r="T544" i="7"/>
  <c r="T564" i="7"/>
  <c r="T568" i="7"/>
  <c r="S117" i="7" l="1"/>
  <c r="T107" i="7"/>
  <c r="T140" i="7" s="1"/>
  <c r="Z252" i="7"/>
  <c r="Z94" i="7"/>
  <c r="Z127" i="7"/>
  <c r="Z128" i="7" s="1"/>
  <c r="Z164" i="7"/>
  <c r="AA56" i="7"/>
  <c r="AA607" i="7"/>
  <c r="AA602" i="7"/>
  <c r="AA648" i="7"/>
  <c r="AA644" i="7"/>
  <c r="AA640" i="7"/>
  <c r="AA636" i="7"/>
  <c r="AA33" i="7"/>
  <c r="AA37" i="7"/>
  <c r="AA30" i="7"/>
  <c r="T509" i="7"/>
  <c r="AA753" i="7"/>
  <c r="AA752" i="7"/>
  <c r="AA751" i="7"/>
  <c r="AA750" i="7"/>
  <c r="AA749" i="7"/>
  <c r="AA748" i="7"/>
  <c r="AA747" i="7"/>
  <c r="AA746" i="7"/>
  <c r="AA745" i="7"/>
  <c r="AA721" i="7"/>
  <c r="AA720" i="7"/>
  <c r="AA718" i="7"/>
  <c r="AA716" i="7"/>
  <c r="AA744" i="7"/>
  <c r="AA719" i="7"/>
  <c r="AA717" i="7"/>
  <c r="AA715" i="7"/>
  <c r="AA713" i="7"/>
  <c r="AA689" i="7"/>
  <c r="AA685" i="7"/>
  <c r="AA683" i="7"/>
  <c r="AA681" i="7"/>
  <c r="AA712" i="7"/>
  <c r="AA688" i="7"/>
  <c r="AA686" i="7"/>
  <c r="AA684" i="7"/>
  <c r="AA682" i="7"/>
  <c r="AA680" i="7"/>
  <c r="AA714" i="7"/>
  <c r="AA687" i="7"/>
  <c r="AA23" i="7"/>
  <c r="AA281" i="7" s="1"/>
  <c r="AA58" i="7"/>
  <c r="V657" i="7"/>
  <c r="V141" i="7" s="1"/>
  <c r="U373" i="7"/>
  <c r="U754" i="7"/>
  <c r="U739" i="7" s="1"/>
  <c r="U106" i="7" s="1"/>
  <c r="V765" i="7"/>
  <c r="V764" i="7"/>
  <c r="V763" i="7"/>
  <c r="V761" i="7"/>
  <c r="V760" i="7"/>
  <c r="V758" i="7"/>
  <c r="V757" i="7"/>
  <c r="V433" i="7"/>
  <c r="V432" i="7"/>
  <c r="V431" i="7"/>
  <c r="V430" i="7"/>
  <c r="V429" i="7"/>
  <c r="V428" i="7"/>
  <c r="V427" i="7"/>
  <c r="V426" i="7"/>
  <c r="V425" i="7"/>
  <c r="V424" i="7"/>
  <c r="V733" i="7"/>
  <c r="V732" i="7"/>
  <c r="V731" i="7"/>
  <c r="V730" i="7"/>
  <c r="V729" i="7"/>
  <c r="V728" i="7"/>
  <c r="V727" i="7"/>
  <c r="V726" i="7"/>
  <c r="V724" i="7"/>
  <c r="V407" i="7"/>
  <c r="V406" i="7"/>
  <c r="V405" i="7"/>
  <c r="V404" i="7"/>
  <c r="V403" i="7"/>
  <c r="V402" i="7"/>
  <c r="V401" i="7"/>
  <c r="V400" i="7"/>
  <c r="V399" i="7"/>
  <c r="V398" i="7"/>
  <c r="V701" i="7"/>
  <c r="V700" i="7"/>
  <c r="V699" i="7"/>
  <c r="V698" i="7"/>
  <c r="V697" i="7"/>
  <c r="V696" i="7"/>
  <c r="V695" i="7"/>
  <c r="V694" i="7"/>
  <c r="V692" i="7"/>
  <c r="V382" i="7"/>
  <c r="V381" i="7"/>
  <c r="V380" i="7"/>
  <c r="V379" i="7"/>
  <c r="V378" i="7"/>
  <c r="V377" i="7"/>
  <c r="V376" i="7"/>
  <c r="V375" i="7"/>
  <c r="V374" i="7"/>
  <c r="V608" i="7"/>
  <c r="V603" i="7"/>
  <c r="V504" i="7"/>
  <c r="V489" i="7"/>
  <c r="V488" i="7"/>
  <c r="V487" i="7"/>
  <c r="V486" i="7"/>
  <c r="V485" i="7"/>
  <c r="V484" i="7"/>
  <c r="V353" i="7"/>
  <c r="V352" i="7"/>
  <c r="V351" i="7"/>
  <c r="V350" i="7"/>
  <c r="V349" i="7"/>
  <c r="V348" i="7"/>
  <c r="V368" i="7"/>
  <c r="V32" i="7"/>
  <c r="U369" i="7"/>
  <c r="U517" i="7"/>
  <c r="U511" i="7"/>
  <c r="U510" i="7"/>
  <c r="U514" i="7"/>
  <c r="U518" i="7"/>
  <c r="U538" i="7"/>
  <c r="U542" i="7"/>
  <c r="U562" i="7"/>
  <c r="U566" i="7"/>
  <c r="U570" i="7"/>
  <c r="U535" i="7"/>
  <c r="U539" i="7"/>
  <c r="U543" i="7"/>
  <c r="U563" i="7"/>
  <c r="U567" i="7"/>
  <c r="U505" i="7"/>
  <c r="U34" i="7"/>
  <c r="U690" i="7"/>
  <c r="U675" i="7" s="1"/>
  <c r="U104" i="7" s="1"/>
  <c r="U722" i="7"/>
  <c r="U707" i="7" s="1"/>
  <c r="U105" i="7" s="1"/>
  <c r="U513" i="7"/>
  <c r="U515" i="7"/>
  <c r="U512" i="7"/>
  <c r="U516" i="7"/>
  <c r="U536" i="7"/>
  <c r="U540" i="7"/>
  <c r="U544" i="7"/>
  <c r="U564" i="7"/>
  <c r="U568" i="7"/>
  <c r="U537" i="7"/>
  <c r="U541" i="7"/>
  <c r="U561" i="7"/>
  <c r="U565" i="7"/>
  <c r="U569" i="7"/>
  <c r="T117" i="7" l="1"/>
  <c r="U107" i="7"/>
  <c r="U140" i="7" s="1"/>
  <c r="AA252" i="7"/>
  <c r="AA94" i="7"/>
  <c r="AA127" i="7"/>
  <c r="AA128" i="7" s="1"/>
  <c r="AA164" i="7"/>
  <c r="AB56" i="7"/>
  <c r="AB498" i="7"/>
  <c r="AB362" i="7"/>
  <c r="AB669" i="7"/>
  <c r="AB644" i="7"/>
  <c r="AB636" i="7"/>
  <c r="AB607" i="7"/>
  <c r="AB602" i="7"/>
  <c r="AB648" i="7"/>
  <c r="AB640" i="7"/>
  <c r="AB33" i="7"/>
  <c r="AB30" i="7"/>
  <c r="AB37" i="7"/>
  <c r="U509" i="7"/>
  <c r="AB753" i="7"/>
  <c r="AB751" i="7"/>
  <c r="AB749" i="7"/>
  <c r="AB747" i="7"/>
  <c r="AB721" i="7"/>
  <c r="AB748" i="7"/>
  <c r="AB745" i="7"/>
  <c r="AB720" i="7"/>
  <c r="AB718" i="7"/>
  <c r="AB750" i="7"/>
  <c r="AB744" i="7"/>
  <c r="AB752" i="7"/>
  <c r="AB746" i="7"/>
  <c r="AB719" i="7"/>
  <c r="AB717" i="7"/>
  <c r="AB715" i="7"/>
  <c r="AB713" i="7"/>
  <c r="AB689" i="7"/>
  <c r="AB687" i="7"/>
  <c r="AB686" i="7"/>
  <c r="AB685" i="7"/>
  <c r="AB684" i="7"/>
  <c r="AB683" i="7"/>
  <c r="AB682" i="7"/>
  <c r="AB681" i="7"/>
  <c r="AB680" i="7"/>
  <c r="AB712" i="7"/>
  <c r="AB688" i="7"/>
  <c r="AB716" i="7"/>
  <c r="AB714" i="7"/>
  <c r="AB23" i="7"/>
  <c r="AB281" i="7" s="1"/>
  <c r="AB58" i="7"/>
  <c r="W657" i="7"/>
  <c r="W141" i="7" s="1"/>
  <c r="V690" i="7"/>
  <c r="V675" i="7" s="1"/>
  <c r="V104" i="7" s="1"/>
  <c r="V754" i="7"/>
  <c r="V739" i="7" s="1"/>
  <c r="V106" i="7" s="1"/>
  <c r="V373" i="7"/>
  <c r="V34" i="7"/>
  <c r="V722" i="7"/>
  <c r="V707" i="7" s="1"/>
  <c r="V105" i="7" s="1"/>
  <c r="W765" i="7"/>
  <c r="W764" i="7"/>
  <c r="W763" i="7"/>
  <c r="W761" i="7"/>
  <c r="W759" i="7"/>
  <c r="W758" i="7"/>
  <c r="W433" i="7"/>
  <c r="W432" i="7"/>
  <c r="W431" i="7"/>
  <c r="W430" i="7"/>
  <c r="W429" i="7"/>
  <c r="W428" i="7"/>
  <c r="W427" i="7"/>
  <c r="W426" i="7"/>
  <c r="W756" i="7"/>
  <c r="W424" i="7"/>
  <c r="W407" i="7"/>
  <c r="W406" i="7"/>
  <c r="W405" i="7"/>
  <c r="W404" i="7"/>
  <c r="W403" i="7"/>
  <c r="W402" i="7"/>
  <c r="W401" i="7"/>
  <c r="W425" i="7"/>
  <c r="W733" i="7"/>
  <c r="W732" i="7"/>
  <c r="W731" i="7"/>
  <c r="W730" i="7"/>
  <c r="W729" i="7"/>
  <c r="W728" i="7"/>
  <c r="W727" i="7"/>
  <c r="W726" i="7"/>
  <c r="W724" i="7"/>
  <c r="W382" i="7"/>
  <c r="W381" i="7"/>
  <c r="W380" i="7"/>
  <c r="W379" i="7"/>
  <c r="W378" i="7"/>
  <c r="W377" i="7"/>
  <c r="W400" i="7"/>
  <c r="W399" i="7"/>
  <c r="W398" i="7"/>
  <c r="W701" i="7"/>
  <c r="W700" i="7"/>
  <c r="W699" i="7"/>
  <c r="W698" i="7"/>
  <c r="W697" i="7"/>
  <c r="W696" i="7"/>
  <c r="W695" i="7"/>
  <c r="W694" i="7"/>
  <c r="W692" i="7"/>
  <c r="W375" i="7"/>
  <c r="W376" i="7"/>
  <c r="W374" i="7"/>
  <c r="W608" i="7"/>
  <c r="W603" i="7"/>
  <c r="W489" i="7"/>
  <c r="W488" i="7"/>
  <c r="W487" i="7"/>
  <c r="W486" i="7"/>
  <c r="W485" i="7"/>
  <c r="W484" i="7"/>
  <c r="W504" i="7"/>
  <c r="W368" i="7"/>
  <c r="W353" i="7"/>
  <c r="W352" i="7"/>
  <c r="W351" i="7"/>
  <c r="W350" i="7"/>
  <c r="W349" i="7"/>
  <c r="W348" i="7"/>
  <c r="W32" i="7"/>
  <c r="V512" i="7"/>
  <c r="V369" i="7"/>
  <c r="V510" i="7"/>
  <c r="V518" i="7"/>
  <c r="V511" i="7"/>
  <c r="V515" i="7"/>
  <c r="V535" i="7"/>
  <c r="V539" i="7"/>
  <c r="V543" i="7"/>
  <c r="V563" i="7"/>
  <c r="V567" i="7"/>
  <c r="V505" i="7"/>
  <c r="V536" i="7"/>
  <c r="V540" i="7"/>
  <c r="V544" i="7"/>
  <c r="V564" i="7"/>
  <c r="V568" i="7"/>
  <c r="V516" i="7"/>
  <c r="V514" i="7"/>
  <c r="V513" i="7"/>
  <c r="V517" i="7"/>
  <c r="V537" i="7"/>
  <c r="V541" i="7"/>
  <c r="V561" i="7"/>
  <c r="V565" i="7"/>
  <c r="V569" i="7"/>
  <c r="V538" i="7"/>
  <c r="V542" i="7"/>
  <c r="V562" i="7"/>
  <c r="V566" i="7"/>
  <c r="V570" i="7"/>
  <c r="U117" i="7" l="1"/>
  <c r="AB252" i="7"/>
  <c r="AB94" i="7"/>
  <c r="V107" i="7"/>
  <c r="V140" i="7" s="1"/>
  <c r="AB127" i="7"/>
  <c r="AB128" i="7" s="1"/>
  <c r="AB164" i="7"/>
  <c r="AB101" i="7"/>
  <c r="AC56" i="7"/>
  <c r="AC498" i="7"/>
  <c r="AC362" i="7"/>
  <c r="AC669" i="7"/>
  <c r="AC607" i="7"/>
  <c r="AC602" i="7"/>
  <c r="AC648" i="7"/>
  <c r="AC644" i="7"/>
  <c r="AC640" i="7"/>
  <c r="AC636" i="7"/>
  <c r="AC33" i="7"/>
  <c r="AC37" i="7"/>
  <c r="AC30" i="7"/>
  <c r="V509" i="7"/>
  <c r="AC752" i="7"/>
  <c r="AC750" i="7"/>
  <c r="AC748" i="7"/>
  <c r="AC746" i="7"/>
  <c r="AC744" i="7"/>
  <c r="AC721" i="7"/>
  <c r="AC751" i="7"/>
  <c r="AC747" i="7"/>
  <c r="AC753" i="7"/>
  <c r="AC745" i="7"/>
  <c r="AC712" i="7"/>
  <c r="AC749" i="7"/>
  <c r="AC719" i="7"/>
  <c r="AC717" i="7"/>
  <c r="AC715" i="7"/>
  <c r="AC720" i="7"/>
  <c r="AC718" i="7"/>
  <c r="AC716" i="7"/>
  <c r="AC714" i="7"/>
  <c r="AC713" i="7"/>
  <c r="AC686" i="7"/>
  <c r="AC684" i="7"/>
  <c r="AC682" i="7"/>
  <c r="AC680" i="7"/>
  <c r="AC687" i="7"/>
  <c r="AC689" i="7"/>
  <c r="AC688" i="7"/>
  <c r="AC685" i="7"/>
  <c r="AC683" i="7"/>
  <c r="AC681" i="7"/>
  <c r="AC58" i="7"/>
  <c r="AC23" i="7"/>
  <c r="AC281" i="7" s="1"/>
  <c r="X657" i="7"/>
  <c r="X141" i="7" s="1"/>
  <c r="W373" i="7"/>
  <c r="W34" i="7"/>
  <c r="W722" i="7"/>
  <c r="W707" i="7" s="1"/>
  <c r="W105" i="7" s="1"/>
  <c r="W690" i="7"/>
  <c r="W675" i="7" s="1"/>
  <c r="W104" i="7" s="1"/>
  <c r="W515" i="7"/>
  <c r="W517" i="7"/>
  <c r="W512" i="7"/>
  <c r="W516" i="7"/>
  <c r="W536" i="7"/>
  <c r="W540" i="7"/>
  <c r="W544" i="7"/>
  <c r="W564" i="7"/>
  <c r="W568" i="7"/>
  <c r="W537" i="7"/>
  <c r="W541" i="7"/>
  <c r="W561" i="7"/>
  <c r="W565" i="7"/>
  <c r="W569" i="7"/>
  <c r="W754" i="7"/>
  <c r="W739" i="7" s="1"/>
  <c r="W106" i="7" s="1"/>
  <c r="X765" i="7"/>
  <c r="X764" i="7"/>
  <c r="X762" i="7"/>
  <c r="X761" i="7"/>
  <c r="X759" i="7"/>
  <c r="X758" i="7"/>
  <c r="X756" i="7"/>
  <c r="X433" i="7"/>
  <c r="X432" i="7"/>
  <c r="X431" i="7"/>
  <c r="X430" i="7"/>
  <c r="X429" i="7"/>
  <c r="X427" i="7"/>
  <c r="X426" i="7"/>
  <c r="X425" i="7"/>
  <c r="X424" i="7"/>
  <c r="X733" i="7"/>
  <c r="X732" i="7"/>
  <c r="X731" i="7"/>
  <c r="X730" i="7"/>
  <c r="X729" i="7"/>
  <c r="X728" i="7"/>
  <c r="X727" i="7"/>
  <c r="X726" i="7"/>
  <c r="X724" i="7"/>
  <c r="X407" i="7"/>
  <c r="X406" i="7"/>
  <c r="X405" i="7"/>
  <c r="X404" i="7"/>
  <c r="X403" i="7"/>
  <c r="X402" i="7"/>
  <c r="X401" i="7"/>
  <c r="X400" i="7"/>
  <c r="X399" i="7"/>
  <c r="X398" i="7"/>
  <c r="X701" i="7"/>
  <c r="X700" i="7"/>
  <c r="X699" i="7"/>
  <c r="X698" i="7"/>
  <c r="X697" i="7"/>
  <c r="X696" i="7"/>
  <c r="X695" i="7"/>
  <c r="X694" i="7"/>
  <c r="X692" i="7"/>
  <c r="X382" i="7"/>
  <c r="X381" i="7"/>
  <c r="X380" i="7"/>
  <c r="X379" i="7"/>
  <c r="X378" i="7"/>
  <c r="X377" i="7"/>
  <c r="X376" i="7"/>
  <c r="X375" i="7"/>
  <c r="X374" i="7"/>
  <c r="X608" i="7"/>
  <c r="X603" i="7"/>
  <c r="X504" i="7"/>
  <c r="X489" i="7"/>
  <c r="X488" i="7"/>
  <c r="X487" i="7"/>
  <c r="X486" i="7"/>
  <c r="X485" i="7"/>
  <c r="X484" i="7"/>
  <c r="X428" i="7"/>
  <c r="X353" i="7"/>
  <c r="X352" i="7"/>
  <c r="X351" i="7"/>
  <c r="X350" i="7"/>
  <c r="X349" i="7"/>
  <c r="X348" i="7"/>
  <c r="X368" i="7"/>
  <c r="X32" i="7"/>
  <c r="W369" i="7"/>
  <c r="W511" i="7"/>
  <c r="W513" i="7"/>
  <c r="W510" i="7"/>
  <c r="W514" i="7"/>
  <c r="W518" i="7"/>
  <c r="W538" i="7"/>
  <c r="W542" i="7"/>
  <c r="W562" i="7"/>
  <c r="W566" i="7"/>
  <c r="W570" i="7"/>
  <c r="W535" i="7"/>
  <c r="W539" i="7"/>
  <c r="W543" i="7"/>
  <c r="W563" i="7"/>
  <c r="W567" i="7"/>
  <c r="W505" i="7"/>
  <c r="V117" i="7" l="1"/>
  <c r="AC252" i="7"/>
  <c r="AC94" i="7"/>
  <c r="W107" i="7"/>
  <c r="W140" i="7" s="1"/>
  <c r="AC127" i="7"/>
  <c r="AC128" i="7" s="1"/>
  <c r="AC164" i="7"/>
  <c r="AD56" i="7"/>
  <c r="AD498" i="7"/>
  <c r="AD362" i="7"/>
  <c r="AC101" i="7"/>
  <c r="AD669" i="7"/>
  <c r="AD648" i="7"/>
  <c r="AD644" i="7"/>
  <c r="AD640" i="7"/>
  <c r="AD636" i="7"/>
  <c r="AD607" i="7"/>
  <c r="AD602" i="7"/>
  <c r="AD33" i="7"/>
  <c r="AD37" i="7"/>
  <c r="AD30" i="7"/>
  <c r="W509" i="7"/>
  <c r="AD752" i="7"/>
  <c r="AD750" i="7"/>
  <c r="AD748" i="7"/>
  <c r="AD746" i="7"/>
  <c r="AD745" i="7"/>
  <c r="AD720" i="7"/>
  <c r="AD719" i="7"/>
  <c r="AD718" i="7"/>
  <c r="AD717" i="7"/>
  <c r="AD716" i="7"/>
  <c r="AD715" i="7"/>
  <c r="AD714" i="7"/>
  <c r="AD713" i="7"/>
  <c r="AD712" i="7"/>
  <c r="AD689" i="7"/>
  <c r="AD688" i="7"/>
  <c r="AD687" i="7"/>
  <c r="AD749" i="7"/>
  <c r="AD744" i="7"/>
  <c r="AD751" i="7"/>
  <c r="AD753" i="7"/>
  <c r="AD747" i="7"/>
  <c r="AD721" i="7"/>
  <c r="AD686" i="7"/>
  <c r="AD684" i="7"/>
  <c r="AD682" i="7"/>
  <c r="AD680" i="7"/>
  <c r="AD685" i="7"/>
  <c r="AD683" i="7"/>
  <c r="AD681" i="7"/>
  <c r="AD58" i="7"/>
  <c r="AD23" i="7"/>
  <c r="AD281" i="7" s="1"/>
  <c r="Y657" i="7"/>
  <c r="Y141" i="7" s="1"/>
  <c r="X373" i="7"/>
  <c r="X514" i="7"/>
  <c r="X369" i="7"/>
  <c r="X512" i="7"/>
  <c r="X513" i="7"/>
  <c r="X517" i="7"/>
  <c r="X537" i="7"/>
  <c r="X541" i="7"/>
  <c r="X561" i="7"/>
  <c r="X565" i="7"/>
  <c r="X569" i="7"/>
  <c r="X538" i="7"/>
  <c r="X542" i="7"/>
  <c r="X562" i="7"/>
  <c r="X566" i="7"/>
  <c r="X570" i="7"/>
  <c r="X34" i="7"/>
  <c r="X690" i="7"/>
  <c r="X675" i="7" s="1"/>
  <c r="X104" i="7" s="1"/>
  <c r="X722" i="7"/>
  <c r="X707" i="7" s="1"/>
  <c r="X105" i="7" s="1"/>
  <c r="X754" i="7"/>
  <c r="X739" i="7" s="1"/>
  <c r="X106" i="7" s="1"/>
  <c r="Y765" i="7"/>
  <c r="Y764" i="7"/>
  <c r="Y762" i="7"/>
  <c r="Y761" i="7"/>
  <c r="Y759" i="7"/>
  <c r="Y758" i="7"/>
  <c r="Y433" i="7"/>
  <c r="Y432" i="7"/>
  <c r="Y431" i="7"/>
  <c r="Y430" i="7"/>
  <c r="Y429" i="7"/>
  <c r="Y428" i="7"/>
  <c r="Y427" i="7"/>
  <c r="Y426" i="7"/>
  <c r="Y756" i="7"/>
  <c r="Y425" i="7"/>
  <c r="Y407" i="7"/>
  <c r="Y406" i="7"/>
  <c r="Y405" i="7"/>
  <c r="Y404" i="7"/>
  <c r="Y403" i="7"/>
  <c r="Y402" i="7"/>
  <c r="Y401" i="7"/>
  <c r="Y424" i="7"/>
  <c r="Y733" i="7"/>
  <c r="Y732" i="7"/>
  <c r="Y731" i="7"/>
  <c r="Y730" i="7"/>
  <c r="Y729" i="7"/>
  <c r="Y728" i="7"/>
  <c r="Y727" i="7"/>
  <c r="Y726" i="7"/>
  <c r="Y724" i="7"/>
  <c r="Y400" i="7"/>
  <c r="Y382" i="7"/>
  <c r="Y381" i="7"/>
  <c r="Y380" i="7"/>
  <c r="Y379" i="7"/>
  <c r="Y378" i="7"/>
  <c r="Y377" i="7"/>
  <c r="Y399" i="7"/>
  <c r="Y398" i="7"/>
  <c r="Y701" i="7"/>
  <c r="Y700" i="7"/>
  <c r="Y699" i="7"/>
  <c r="Y698" i="7"/>
  <c r="Y697" i="7"/>
  <c r="Y696" i="7"/>
  <c r="Y695" i="7"/>
  <c r="Y694" i="7"/>
  <c r="Y692" i="7"/>
  <c r="Y376" i="7"/>
  <c r="Y375" i="7"/>
  <c r="Y374" i="7"/>
  <c r="Y608" i="7"/>
  <c r="Y603" i="7"/>
  <c r="Y489" i="7"/>
  <c r="Y488" i="7"/>
  <c r="Y487" i="7"/>
  <c r="Y486" i="7"/>
  <c r="Y485" i="7"/>
  <c r="Y484" i="7"/>
  <c r="Y504" i="7"/>
  <c r="Y368" i="7"/>
  <c r="Y353" i="7"/>
  <c r="Y352" i="7"/>
  <c r="Y351" i="7"/>
  <c r="Y350" i="7"/>
  <c r="Y349" i="7"/>
  <c r="Y348" i="7"/>
  <c r="Y32" i="7"/>
  <c r="X510" i="7"/>
  <c r="X518" i="7"/>
  <c r="X516" i="7"/>
  <c r="X511" i="7"/>
  <c r="X515" i="7"/>
  <c r="X535" i="7"/>
  <c r="X539" i="7"/>
  <c r="X543" i="7"/>
  <c r="X563" i="7"/>
  <c r="X567" i="7"/>
  <c r="X505" i="7"/>
  <c r="X536" i="7"/>
  <c r="X540" i="7"/>
  <c r="X544" i="7"/>
  <c r="X564" i="7"/>
  <c r="X568" i="7"/>
  <c r="X107" i="7" l="1"/>
  <c r="X140" i="7" s="1"/>
  <c r="W117" i="7"/>
  <c r="AD252" i="7"/>
  <c r="AD94" i="7"/>
  <c r="AD127" i="7"/>
  <c r="AD128" i="7" s="1"/>
  <c r="AD164" i="7"/>
  <c r="AD101" i="7"/>
  <c r="AE56" i="7"/>
  <c r="AE498" i="7"/>
  <c r="AE362" i="7"/>
  <c r="AE669" i="7"/>
  <c r="AE607" i="7"/>
  <c r="AE602" i="7"/>
  <c r="AE648" i="7"/>
  <c r="AE644" i="7"/>
  <c r="AE636" i="7"/>
  <c r="AE640" i="7"/>
  <c r="AE33" i="7"/>
  <c r="AE37" i="7"/>
  <c r="AE30" i="7"/>
  <c r="X509" i="7"/>
  <c r="AE753" i="7"/>
  <c r="AE752" i="7"/>
  <c r="AE751" i="7"/>
  <c r="AE750" i="7"/>
  <c r="AE749" i="7"/>
  <c r="AE748" i="7"/>
  <c r="AE747" i="7"/>
  <c r="AE746" i="7"/>
  <c r="AE745" i="7"/>
  <c r="AE744" i="7"/>
  <c r="AE719" i="7"/>
  <c r="AE717" i="7"/>
  <c r="AE721" i="7"/>
  <c r="AE720" i="7"/>
  <c r="AE718" i="7"/>
  <c r="AE716" i="7"/>
  <c r="AE714" i="7"/>
  <c r="AE712" i="7"/>
  <c r="AE688" i="7"/>
  <c r="AE680" i="7"/>
  <c r="AE715" i="7"/>
  <c r="AE713" i="7"/>
  <c r="AE687" i="7"/>
  <c r="AE685" i="7"/>
  <c r="AE683" i="7"/>
  <c r="AE681" i="7"/>
  <c r="AE689" i="7"/>
  <c r="AE686" i="7"/>
  <c r="AE684" i="7"/>
  <c r="AE682" i="7"/>
  <c r="AE23" i="7"/>
  <c r="AE281" i="7" s="1"/>
  <c r="AE58" i="7"/>
  <c r="Z657" i="7"/>
  <c r="Z141" i="7" s="1"/>
  <c r="Y373" i="7"/>
  <c r="Y754" i="7"/>
  <c r="Y739" i="7" s="1"/>
  <c r="Y106" i="7" s="1"/>
  <c r="Y34" i="7"/>
  <c r="Z765" i="7"/>
  <c r="Z764" i="7"/>
  <c r="Z762" i="7"/>
  <c r="Z761" i="7"/>
  <c r="Z759" i="7"/>
  <c r="Z758" i="7"/>
  <c r="Z756" i="7"/>
  <c r="Z433" i="7"/>
  <c r="Z432" i="7"/>
  <c r="Z431" i="7"/>
  <c r="Z430" i="7"/>
  <c r="Z429" i="7"/>
  <c r="Z428" i="7"/>
  <c r="Z427" i="7"/>
  <c r="Z426" i="7"/>
  <c r="Z425" i="7"/>
  <c r="Z424" i="7"/>
  <c r="Z733" i="7"/>
  <c r="Z732" i="7"/>
  <c r="Z731" i="7"/>
  <c r="Z730" i="7"/>
  <c r="Z729" i="7"/>
  <c r="Z728" i="7"/>
  <c r="Z727" i="7"/>
  <c r="Z726" i="7"/>
  <c r="Z724" i="7"/>
  <c r="Z407" i="7"/>
  <c r="Z406" i="7"/>
  <c r="Z405" i="7"/>
  <c r="Z404" i="7"/>
  <c r="Z403" i="7"/>
  <c r="Z402" i="7"/>
  <c r="Z401" i="7"/>
  <c r="Z400" i="7"/>
  <c r="Z399" i="7"/>
  <c r="Z398" i="7"/>
  <c r="Z701" i="7"/>
  <c r="Z700" i="7"/>
  <c r="Z699" i="7"/>
  <c r="Z698" i="7"/>
  <c r="Z697" i="7"/>
  <c r="Z696" i="7"/>
  <c r="Z695" i="7"/>
  <c r="Z694" i="7"/>
  <c r="Z692" i="7"/>
  <c r="Z382" i="7"/>
  <c r="Z381" i="7"/>
  <c r="Z380" i="7"/>
  <c r="Z379" i="7"/>
  <c r="Z378" i="7"/>
  <c r="Z377" i="7"/>
  <c r="Z376" i="7"/>
  <c r="Z375" i="7"/>
  <c r="Z374" i="7"/>
  <c r="Z608" i="7"/>
  <c r="Z603" i="7"/>
  <c r="Z504" i="7"/>
  <c r="Z489" i="7"/>
  <c r="Z488" i="7"/>
  <c r="Z487" i="7"/>
  <c r="Z486" i="7"/>
  <c r="Z485" i="7"/>
  <c r="Z484" i="7"/>
  <c r="Z353" i="7"/>
  <c r="Z352" i="7"/>
  <c r="Z351" i="7"/>
  <c r="Z350" i="7"/>
  <c r="Z349" i="7"/>
  <c r="Z348" i="7"/>
  <c r="Z368" i="7"/>
  <c r="Z32" i="7"/>
  <c r="Y369" i="7"/>
  <c r="Y517" i="7"/>
  <c r="Y511" i="7"/>
  <c r="Y510" i="7"/>
  <c r="Y514" i="7"/>
  <c r="Y518" i="7"/>
  <c r="Y538" i="7"/>
  <c r="Y542" i="7"/>
  <c r="Y562" i="7"/>
  <c r="Y566" i="7"/>
  <c r="Y570" i="7"/>
  <c r="Y535" i="7"/>
  <c r="Y539" i="7"/>
  <c r="Y543" i="7"/>
  <c r="Y563" i="7"/>
  <c r="Y567" i="7"/>
  <c r="Y505" i="7"/>
  <c r="Y690" i="7"/>
  <c r="Y675" i="7" s="1"/>
  <c r="Y104" i="7" s="1"/>
  <c r="Y722" i="7"/>
  <c r="Y707" i="7" s="1"/>
  <c r="Y105" i="7" s="1"/>
  <c r="Y513" i="7"/>
  <c r="Y515" i="7"/>
  <c r="Y512" i="7"/>
  <c r="Y516" i="7"/>
  <c r="Y536" i="7"/>
  <c r="Y540" i="7"/>
  <c r="Y544" i="7"/>
  <c r="Y564" i="7"/>
  <c r="Y568" i="7"/>
  <c r="Y537" i="7"/>
  <c r="Y541" i="7"/>
  <c r="Y561" i="7"/>
  <c r="Y565" i="7"/>
  <c r="Y569" i="7"/>
  <c r="X117" i="7" l="1"/>
  <c r="Y107" i="7"/>
  <c r="Y140" i="7" s="1"/>
  <c r="AE252" i="7"/>
  <c r="AE94" i="7"/>
  <c r="AE127" i="7"/>
  <c r="AE128" i="7" s="1"/>
  <c r="AE164" i="7"/>
  <c r="AF56" i="7"/>
  <c r="AF498" i="7"/>
  <c r="AF362" i="7"/>
  <c r="AE101" i="7"/>
  <c r="AF669" i="7"/>
  <c r="AF640" i="7"/>
  <c r="AF607" i="7"/>
  <c r="AF602" i="7"/>
  <c r="AF648" i="7"/>
  <c r="AF644" i="7"/>
  <c r="AF636" i="7"/>
  <c r="AF33" i="7"/>
  <c r="AF37" i="7"/>
  <c r="AF30" i="7"/>
  <c r="Y509" i="7"/>
  <c r="AF753" i="7"/>
  <c r="AF751" i="7"/>
  <c r="AF749" i="7"/>
  <c r="AF747" i="7"/>
  <c r="AF745" i="7"/>
  <c r="AF752" i="7"/>
  <c r="AF748" i="7"/>
  <c r="AF744" i="7"/>
  <c r="AF719" i="7"/>
  <c r="AF717" i="7"/>
  <c r="AF715" i="7"/>
  <c r="AF713" i="7"/>
  <c r="AF689" i="7"/>
  <c r="AF750" i="7"/>
  <c r="AF746" i="7"/>
  <c r="AF721" i="7"/>
  <c r="AF720" i="7"/>
  <c r="AF718" i="7"/>
  <c r="AF716" i="7"/>
  <c r="AF686" i="7"/>
  <c r="AF685" i="7"/>
  <c r="AF684" i="7"/>
  <c r="AF683" i="7"/>
  <c r="AF682" i="7"/>
  <c r="AF681" i="7"/>
  <c r="AF680" i="7"/>
  <c r="AF687" i="7"/>
  <c r="AF714" i="7"/>
  <c r="AF688" i="7"/>
  <c r="AF712" i="7"/>
  <c r="AF23" i="7"/>
  <c r="AF281" i="7" s="1"/>
  <c r="AF58" i="7"/>
  <c r="Z373" i="7"/>
  <c r="AA765" i="7"/>
  <c r="AA763" i="7"/>
  <c r="AA762" i="7"/>
  <c r="AA761" i="7"/>
  <c r="AA759" i="7"/>
  <c r="AA758" i="7"/>
  <c r="AA433" i="7"/>
  <c r="AA432" i="7"/>
  <c r="AA431" i="7"/>
  <c r="AA430" i="7"/>
  <c r="AA429" i="7"/>
  <c r="AA428" i="7"/>
  <c r="AA427" i="7"/>
  <c r="AA426" i="7"/>
  <c r="AA756" i="7"/>
  <c r="AA424" i="7"/>
  <c r="AA407" i="7"/>
  <c r="AA406" i="7"/>
  <c r="AA405" i="7"/>
  <c r="AA404" i="7"/>
  <c r="AA403" i="7"/>
  <c r="AA402" i="7"/>
  <c r="AA401" i="7"/>
  <c r="AA425" i="7"/>
  <c r="AA733" i="7"/>
  <c r="AA732" i="7"/>
  <c r="AA731" i="7"/>
  <c r="AA730" i="7"/>
  <c r="AA729" i="7"/>
  <c r="AA728" i="7"/>
  <c r="AA727" i="7"/>
  <c r="AA726" i="7"/>
  <c r="AA724" i="7"/>
  <c r="AA382" i="7"/>
  <c r="AA381" i="7"/>
  <c r="AA380" i="7"/>
  <c r="AA379" i="7"/>
  <c r="AA378" i="7"/>
  <c r="AA377" i="7"/>
  <c r="AA400" i="7"/>
  <c r="AA399" i="7"/>
  <c r="AA398" i="7"/>
  <c r="AA701" i="7"/>
  <c r="AA700" i="7"/>
  <c r="AA699" i="7"/>
  <c r="AA698" i="7"/>
  <c r="AA697" i="7"/>
  <c r="AA696" i="7"/>
  <c r="AA695" i="7"/>
  <c r="AA692" i="7"/>
  <c r="AA375" i="7"/>
  <c r="AA376" i="7"/>
  <c r="AA374" i="7"/>
  <c r="AA608" i="7"/>
  <c r="AA603" i="7"/>
  <c r="AA489" i="7"/>
  <c r="AA488" i="7"/>
  <c r="AA487" i="7"/>
  <c r="AA486" i="7"/>
  <c r="AA485" i="7"/>
  <c r="AA484" i="7"/>
  <c r="AA504" i="7"/>
  <c r="AA368" i="7"/>
  <c r="AA353" i="7"/>
  <c r="AA352" i="7"/>
  <c r="AA351" i="7"/>
  <c r="AA350" i="7"/>
  <c r="AA349" i="7"/>
  <c r="AA348" i="7"/>
  <c r="AA32" i="7"/>
  <c r="Z516" i="7"/>
  <c r="Z514" i="7"/>
  <c r="Z513" i="7"/>
  <c r="Z517" i="7"/>
  <c r="Z537" i="7"/>
  <c r="Z541" i="7"/>
  <c r="Z561" i="7"/>
  <c r="Z565" i="7"/>
  <c r="Z569" i="7"/>
  <c r="Z538" i="7"/>
  <c r="Z542" i="7"/>
  <c r="Z562" i="7"/>
  <c r="Z566" i="7"/>
  <c r="Z570" i="7"/>
  <c r="Z34" i="7"/>
  <c r="Z690" i="7"/>
  <c r="Z675" i="7" s="1"/>
  <c r="Z104" i="7" s="1"/>
  <c r="Z722" i="7"/>
  <c r="Z707" i="7" s="1"/>
  <c r="Z105" i="7" s="1"/>
  <c r="Z754" i="7"/>
  <c r="Z739" i="7" s="1"/>
  <c r="Z106" i="7" s="1"/>
  <c r="Z512" i="7"/>
  <c r="Z369" i="7"/>
  <c r="Z510" i="7"/>
  <c r="Z518" i="7"/>
  <c r="Z511" i="7"/>
  <c r="Z515" i="7"/>
  <c r="Z535" i="7"/>
  <c r="Z539" i="7"/>
  <c r="Z543" i="7"/>
  <c r="Z563" i="7"/>
  <c r="Z567" i="7"/>
  <c r="Z505" i="7"/>
  <c r="Z536" i="7"/>
  <c r="Z540" i="7"/>
  <c r="Z544" i="7"/>
  <c r="Z564" i="7"/>
  <c r="Z568" i="7"/>
  <c r="Y117" i="7" l="1"/>
  <c r="Z107" i="7"/>
  <c r="Z140" i="7" s="1"/>
  <c r="AF252" i="7"/>
  <c r="AF94" i="7"/>
  <c r="AF127" i="7"/>
  <c r="AF128" i="7" s="1"/>
  <c r="AF164" i="7"/>
  <c r="AG56" i="7"/>
  <c r="AG498" i="7"/>
  <c r="AG362" i="7"/>
  <c r="AF101" i="7"/>
  <c r="AG669" i="7"/>
  <c r="AG607" i="7"/>
  <c r="AG602" i="7"/>
  <c r="AG648" i="7"/>
  <c r="AG644" i="7"/>
  <c r="AG640" i="7"/>
  <c r="AG636" i="7"/>
  <c r="AG33" i="7"/>
  <c r="AG37" i="7"/>
  <c r="AG30" i="7"/>
  <c r="Z509" i="7"/>
  <c r="AG744" i="7"/>
  <c r="AG721" i="7"/>
  <c r="AG753" i="7"/>
  <c r="AG751" i="7"/>
  <c r="AG749" i="7"/>
  <c r="AG747" i="7"/>
  <c r="AG750" i="7"/>
  <c r="AG746" i="7"/>
  <c r="AG720" i="7"/>
  <c r="AG718" i="7"/>
  <c r="AG716" i="7"/>
  <c r="AG752" i="7"/>
  <c r="AG748" i="7"/>
  <c r="AG745" i="7"/>
  <c r="AG719" i="7"/>
  <c r="AG717" i="7"/>
  <c r="AG715" i="7"/>
  <c r="AG713" i="7"/>
  <c r="AG689" i="7"/>
  <c r="AG687" i="7"/>
  <c r="AG714" i="7"/>
  <c r="AG685" i="7"/>
  <c r="AG683" i="7"/>
  <c r="AG681" i="7"/>
  <c r="AG688" i="7"/>
  <c r="AG712" i="7"/>
  <c r="AG686" i="7"/>
  <c r="AG684" i="7"/>
  <c r="AG682" i="7"/>
  <c r="AG680" i="7"/>
  <c r="AG774" i="7"/>
  <c r="AG58" i="7"/>
  <c r="AG23" i="7"/>
  <c r="AG281" i="7" s="1"/>
  <c r="AA373" i="7"/>
  <c r="AB657" i="7"/>
  <c r="AB141" i="7" s="1"/>
  <c r="AA722" i="7"/>
  <c r="AA707" i="7" s="1"/>
  <c r="AA105" i="7" s="1"/>
  <c r="AA690" i="7"/>
  <c r="AA675" i="7" s="1"/>
  <c r="AA104" i="7" s="1"/>
  <c r="AB765" i="7"/>
  <c r="AB763" i="7"/>
  <c r="AB762" i="7"/>
  <c r="AB760" i="7"/>
  <c r="AB759" i="7"/>
  <c r="AB758" i="7"/>
  <c r="AB756" i="7"/>
  <c r="AB433" i="7"/>
  <c r="AB432" i="7"/>
  <c r="AB431" i="7"/>
  <c r="AB430" i="7"/>
  <c r="AB429" i="7"/>
  <c r="AB428" i="7"/>
  <c r="AB427" i="7"/>
  <c r="AB426" i="7"/>
  <c r="AB425" i="7"/>
  <c r="AB424" i="7"/>
  <c r="AB733" i="7"/>
  <c r="AB732" i="7"/>
  <c r="AB731" i="7"/>
  <c r="AB730" i="7"/>
  <c r="AB729" i="7"/>
  <c r="AB728" i="7"/>
  <c r="AB727" i="7"/>
  <c r="AB726" i="7"/>
  <c r="AB724" i="7"/>
  <c r="AB407" i="7"/>
  <c r="AB406" i="7"/>
  <c r="AB405" i="7"/>
  <c r="AB404" i="7"/>
  <c r="AB403" i="7"/>
  <c r="AB402" i="7"/>
  <c r="AB401" i="7"/>
  <c r="AB400" i="7"/>
  <c r="AB399" i="7"/>
  <c r="AB398" i="7"/>
  <c r="AB701" i="7"/>
  <c r="AB700" i="7"/>
  <c r="AB699" i="7"/>
  <c r="AB698" i="7"/>
  <c r="AB697" i="7"/>
  <c r="AB696" i="7"/>
  <c r="AB695" i="7"/>
  <c r="AB692" i="7"/>
  <c r="AB382" i="7"/>
  <c r="AB381" i="7"/>
  <c r="AB380" i="7"/>
  <c r="AB379" i="7"/>
  <c r="AB378" i="7"/>
  <c r="AB377" i="7"/>
  <c r="AB376" i="7"/>
  <c r="AB375" i="7"/>
  <c r="AB374" i="7"/>
  <c r="AB373" i="7"/>
  <c r="AB608" i="7"/>
  <c r="AB603" i="7"/>
  <c r="AB504" i="7"/>
  <c r="AB489" i="7"/>
  <c r="AB488" i="7"/>
  <c r="AB487" i="7"/>
  <c r="AB486" i="7"/>
  <c r="AB485" i="7"/>
  <c r="AB484" i="7"/>
  <c r="AB368" i="7"/>
  <c r="AB353" i="7"/>
  <c r="AB352" i="7"/>
  <c r="AB351" i="7"/>
  <c r="AB350" i="7"/>
  <c r="AB349" i="7"/>
  <c r="AB348" i="7"/>
  <c r="AB32" i="7"/>
  <c r="AA515" i="7"/>
  <c r="AA517" i="7"/>
  <c r="AA512" i="7"/>
  <c r="AA516" i="7"/>
  <c r="AA536" i="7"/>
  <c r="AA540" i="7"/>
  <c r="AA544" i="7"/>
  <c r="AA564" i="7"/>
  <c r="AA568" i="7"/>
  <c r="AA537" i="7"/>
  <c r="AA541" i="7"/>
  <c r="AA561" i="7"/>
  <c r="AA565" i="7"/>
  <c r="AA569" i="7"/>
  <c r="AA34" i="7"/>
  <c r="AA754" i="7"/>
  <c r="AA739" i="7" s="1"/>
  <c r="AA106" i="7" s="1"/>
  <c r="AA369" i="7"/>
  <c r="AA511" i="7"/>
  <c r="AA513" i="7"/>
  <c r="AA510" i="7"/>
  <c r="AA514" i="7"/>
  <c r="AA518" i="7"/>
  <c r="AA538" i="7"/>
  <c r="AA542" i="7"/>
  <c r="AA562" i="7"/>
  <c r="AA566" i="7"/>
  <c r="AA570" i="7"/>
  <c r="AA535" i="7"/>
  <c r="AA539" i="7"/>
  <c r="AA543" i="7"/>
  <c r="AA563" i="7"/>
  <c r="AA567" i="7"/>
  <c r="AA505" i="7"/>
  <c r="AG214" i="7" l="1"/>
  <c r="AG232" i="7"/>
  <c r="AG143" i="7"/>
  <c r="Z117" i="7"/>
  <c r="AA107" i="7"/>
  <c r="AA140" i="7" s="1"/>
  <c r="AG252" i="7"/>
  <c r="AG94" i="7"/>
  <c r="AG127" i="7"/>
  <c r="AG128" i="7" s="1"/>
  <c r="AG164" i="7"/>
  <c r="AG101" i="7"/>
  <c r="AH56" i="7"/>
  <c r="AH498" i="7"/>
  <c r="AH362" i="7"/>
  <c r="AH669" i="7"/>
  <c r="AH602" i="7"/>
  <c r="AH640" i="7"/>
  <c r="AH607" i="7"/>
  <c r="AH648" i="7"/>
  <c r="AH644" i="7"/>
  <c r="AH636" i="7"/>
  <c r="AH33" i="7"/>
  <c r="AH37" i="7"/>
  <c r="AH30" i="7"/>
  <c r="AA509" i="7"/>
  <c r="AH752" i="7"/>
  <c r="AH750" i="7"/>
  <c r="AH748" i="7"/>
  <c r="AH746" i="7"/>
  <c r="AH753" i="7"/>
  <c r="AH749" i="7"/>
  <c r="AH721" i="7"/>
  <c r="AH720" i="7"/>
  <c r="AH719" i="7"/>
  <c r="AH718" i="7"/>
  <c r="AH717" i="7"/>
  <c r="AH716" i="7"/>
  <c r="AH715" i="7"/>
  <c r="AH714" i="7"/>
  <c r="AH713" i="7"/>
  <c r="AH712" i="7"/>
  <c r="AH689" i="7"/>
  <c r="AH688" i="7"/>
  <c r="AH687" i="7"/>
  <c r="AH751" i="7"/>
  <c r="AH747" i="7"/>
  <c r="AH745" i="7"/>
  <c r="AH744" i="7"/>
  <c r="AH686" i="7"/>
  <c r="AH684" i="7"/>
  <c r="AH682" i="7"/>
  <c r="AH680" i="7"/>
  <c r="AH685" i="7"/>
  <c r="AH683" i="7"/>
  <c r="AH681" i="7"/>
  <c r="AH774" i="7"/>
  <c r="AH58" i="7"/>
  <c r="AH23" i="7"/>
  <c r="AH281" i="7" s="1"/>
  <c r="AC657" i="7"/>
  <c r="AC141" i="7" s="1"/>
  <c r="AB690" i="7"/>
  <c r="AB675" i="7" s="1"/>
  <c r="AB104" i="7" s="1"/>
  <c r="AB754" i="7"/>
  <c r="AB739" i="7" s="1"/>
  <c r="AB106" i="7" s="1"/>
  <c r="AB34" i="7"/>
  <c r="AB722" i="7"/>
  <c r="AB707" i="7" s="1"/>
  <c r="AB105" i="7" s="1"/>
  <c r="AC765" i="7"/>
  <c r="AC763" i="7"/>
  <c r="AC762" i="7"/>
  <c r="AC760" i="7"/>
  <c r="AC759" i="7"/>
  <c r="AC758" i="7"/>
  <c r="AC433" i="7"/>
  <c r="AC432" i="7"/>
  <c r="AC431" i="7"/>
  <c r="AC430" i="7"/>
  <c r="AC429" i="7"/>
  <c r="AC428" i="7"/>
  <c r="AC427" i="7"/>
  <c r="AC426" i="7"/>
  <c r="AC756" i="7"/>
  <c r="AC425" i="7"/>
  <c r="AC407" i="7"/>
  <c r="AC406" i="7"/>
  <c r="AC405" i="7"/>
  <c r="AC404" i="7"/>
  <c r="AC403" i="7"/>
  <c r="AC402" i="7"/>
  <c r="AC401" i="7"/>
  <c r="AC424" i="7"/>
  <c r="AC733" i="7"/>
  <c r="AC732" i="7"/>
  <c r="AC731" i="7"/>
  <c r="AC730" i="7"/>
  <c r="AC729" i="7"/>
  <c r="AC728" i="7"/>
  <c r="AC727" i="7"/>
  <c r="AC726" i="7"/>
  <c r="AC724" i="7"/>
  <c r="AC400" i="7"/>
  <c r="AC382" i="7"/>
  <c r="AC381" i="7"/>
  <c r="AC380" i="7"/>
  <c r="AC379" i="7"/>
  <c r="AC378" i="7"/>
  <c r="AC377" i="7"/>
  <c r="AC399" i="7"/>
  <c r="AC398" i="7"/>
  <c r="AC701" i="7"/>
  <c r="AC700" i="7"/>
  <c r="AC699" i="7"/>
  <c r="AC698" i="7"/>
  <c r="AC697" i="7"/>
  <c r="AC696" i="7"/>
  <c r="AC695" i="7"/>
  <c r="AC692" i="7"/>
  <c r="AC376" i="7"/>
  <c r="AC375" i="7"/>
  <c r="AC374" i="7"/>
  <c r="AC373" i="7"/>
  <c r="AC608" i="7"/>
  <c r="AC603" i="7"/>
  <c r="AC489" i="7"/>
  <c r="AC488" i="7"/>
  <c r="AC487" i="7"/>
  <c r="AC486" i="7"/>
  <c r="AC485" i="7"/>
  <c r="AC484" i="7"/>
  <c r="AC504" i="7"/>
  <c r="AC368" i="7"/>
  <c r="AC353" i="7"/>
  <c r="AC352" i="7"/>
  <c r="AC351" i="7"/>
  <c r="AC350" i="7"/>
  <c r="AC349" i="7"/>
  <c r="AC348" i="7"/>
  <c r="AC32" i="7"/>
  <c r="AB514" i="7"/>
  <c r="AB369" i="7"/>
  <c r="AB512" i="7"/>
  <c r="AB511" i="7"/>
  <c r="AB515" i="7"/>
  <c r="AB535" i="7"/>
  <c r="AB539" i="7"/>
  <c r="AB543" i="7"/>
  <c r="AB563" i="7"/>
  <c r="AB567" i="7"/>
  <c r="AB505" i="7"/>
  <c r="AB536" i="7"/>
  <c r="AB540" i="7"/>
  <c r="AB544" i="7"/>
  <c r="AB564" i="7"/>
  <c r="AB568" i="7"/>
  <c r="AB510" i="7"/>
  <c r="AB518" i="7"/>
  <c r="AB516" i="7"/>
  <c r="AB509" i="7"/>
  <c r="AB513" i="7"/>
  <c r="AB517" i="7"/>
  <c r="AB537" i="7"/>
  <c r="AB541" i="7"/>
  <c r="AB561" i="7"/>
  <c r="AB565" i="7"/>
  <c r="AB569" i="7"/>
  <c r="AB538" i="7"/>
  <c r="AB542" i="7"/>
  <c r="AB562" i="7"/>
  <c r="AB566" i="7"/>
  <c r="AB570" i="7"/>
  <c r="AH232" i="7" l="1"/>
  <c r="AH214" i="7"/>
  <c r="AH143" i="7"/>
  <c r="AH252" i="7"/>
  <c r="AH94" i="7"/>
  <c r="AB107" i="7"/>
  <c r="AB140" i="7" s="1"/>
  <c r="AH127" i="7"/>
  <c r="AH128" i="7" s="1"/>
  <c r="AH164" i="7"/>
  <c r="AI56" i="7"/>
  <c r="AI498" i="7"/>
  <c r="AI362" i="7"/>
  <c r="AH101" i="7"/>
  <c r="AI669" i="7"/>
  <c r="AI607" i="7"/>
  <c r="AI602" i="7"/>
  <c r="AI648" i="7"/>
  <c r="AI644" i="7"/>
  <c r="AI640" i="7"/>
  <c r="AI636" i="7"/>
  <c r="AI33" i="7"/>
  <c r="AI37" i="7"/>
  <c r="AI30" i="7"/>
  <c r="AI753" i="7"/>
  <c r="AI752" i="7"/>
  <c r="AI751" i="7"/>
  <c r="AI750" i="7"/>
  <c r="AI749" i="7"/>
  <c r="AI748" i="7"/>
  <c r="AI747" i="7"/>
  <c r="AI746" i="7"/>
  <c r="AI745" i="7"/>
  <c r="AI720" i="7"/>
  <c r="AI716" i="7"/>
  <c r="AI721" i="7"/>
  <c r="AI744" i="7"/>
  <c r="AI719" i="7"/>
  <c r="AI717" i="7"/>
  <c r="AI715" i="7"/>
  <c r="AI718" i="7"/>
  <c r="AI714" i="7"/>
  <c r="AI712" i="7"/>
  <c r="AI688" i="7"/>
  <c r="AI686" i="7"/>
  <c r="AI684" i="7"/>
  <c r="AI682" i="7"/>
  <c r="AI680" i="7"/>
  <c r="AI689" i="7"/>
  <c r="AI685" i="7"/>
  <c r="AI683" i="7"/>
  <c r="AI681" i="7"/>
  <c r="AI713" i="7"/>
  <c r="AI687" i="7"/>
  <c r="AI774" i="7"/>
  <c r="AI23" i="7"/>
  <c r="AI281" i="7" s="1"/>
  <c r="AI58" i="7"/>
  <c r="AD657" i="7"/>
  <c r="AD141" i="7" s="1"/>
  <c r="AC754" i="7"/>
  <c r="AC739" i="7" s="1"/>
  <c r="AC106" i="7" s="1"/>
  <c r="AC34" i="7"/>
  <c r="AD764" i="7"/>
  <c r="AD763" i="7"/>
  <c r="AD762" i="7"/>
  <c r="AD760" i="7"/>
  <c r="AD759" i="7"/>
  <c r="AD758" i="7"/>
  <c r="AD756" i="7"/>
  <c r="AD433" i="7"/>
  <c r="AD432" i="7"/>
  <c r="AD431" i="7"/>
  <c r="AD430" i="7"/>
  <c r="AD429" i="7"/>
  <c r="AD428" i="7"/>
  <c r="AD427" i="7"/>
  <c r="AD426" i="7"/>
  <c r="AD425" i="7"/>
  <c r="AD424" i="7"/>
  <c r="AD733" i="7"/>
  <c r="AD732" i="7"/>
  <c r="AD731" i="7"/>
  <c r="AD730" i="7"/>
  <c r="AD729" i="7"/>
  <c r="AD728" i="7"/>
  <c r="AD727" i="7"/>
  <c r="AD726" i="7"/>
  <c r="AD724" i="7"/>
  <c r="AD407" i="7"/>
  <c r="AD406" i="7"/>
  <c r="AD405" i="7"/>
  <c r="AD404" i="7"/>
  <c r="AD403" i="7"/>
  <c r="AD402" i="7"/>
  <c r="AD401" i="7"/>
  <c r="AD400" i="7"/>
  <c r="AD399" i="7"/>
  <c r="AD398" i="7"/>
  <c r="AD701" i="7"/>
  <c r="AD700" i="7"/>
  <c r="AD699" i="7"/>
  <c r="AD698" i="7"/>
  <c r="AD697" i="7"/>
  <c r="AD696" i="7"/>
  <c r="AD695" i="7"/>
  <c r="AD692" i="7"/>
  <c r="AD382" i="7"/>
  <c r="AD381" i="7"/>
  <c r="AD380" i="7"/>
  <c r="AD379" i="7"/>
  <c r="AD378" i="7"/>
  <c r="AD377" i="7"/>
  <c r="AD376" i="7"/>
  <c r="AD375" i="7"/>
  <c r="AD374" i="7"/>
  <c r="AD373" i="7"/>
  <c r="AD608" i="7"/>
  <c r="AD603" i="7"/>
  <c r="AD504" i="7"/>
  <c r="AD489" i="7"/>
  <c r="AD488" i="7"/>
  <c r="AD487" i="7"/>
  <c r="AD486" i="7"/>
  <c r="AD485" i="7"/>
  <c r="AD484" i="7"/>
  <c r="AD368" i="7"/>
  <c r="AD353" i="7"/>
  <c r="AD352" i="7"/>
  <c r="AD351" i="7"/>
  <c r="AD350" i="7"/>
  <c r="AD349" i="7"/>
  <c r="AD348" i="7"/>
  <c r="AD32" i="7"/>
  <c r="AC369" i="7"/>
  <c r="AC513" i="7"/>
  <c r="AC511" i="7"/>
  <c r="AC510" i="7"/>
  <c r="AC514" i="7"/>
  <c r="AC518" i="7"/>
  <c r="AC538" i="7"/>
  <c r="AC542" i="7"/>
  <c r="AC562" i="7"/>
  <c r="AC566" i="7"/>
  <c r="AC570" i="7"/>
  <c r="AC535" i="7"/>
  <c r="AC539" i="7"/>
  <c r="AC543" i="7"/>
  <c r="AC563" i="7"/>
  <c r="AC567" i="7"/>
  <c r="AC505" i="7"/>
  <c r="AC690" i="7"/>
  <c r="AC675" i="7" s="1"/>
  <c r="AC104" i="7" s="1"/>
  <c r="AC722" i="7"/>
  <c r="AC707" i="7" s="1"/>
  <c r="AC105" i="7" s="1"/>
  <c r="AC509" i="7"/>
  <c r="AC517" i="7"/>
  <c r="AC515" i="7"/>
  <c r="AC512" i="7"/>
  <c r="AC516" i="7"/>
  <c r="AC536" i="7"/>
  <c r="AC540" i="7"/>
  <c r="AC544" i="7"/>
  <c r="AC564" i="7"/>
  <c r="AC568" i="7"/>
  <c r="AC537" i="7"/>
  <c r="AC541" i="7"/>
  <c r="AC561" i="7"/>
  <c r="AC565" i="7"/>
  <c r="AC569" i="7"/>
  <c r="AI232" i="7" l="1"/>
  <c r="AI214" i="7"/>
  <c r="AI143" i="7"/>
  <c r="AB117" i="7"/>
  <c r="AI252" i="7"/>
  <c r="AI94" i="7"/>
  <c r="AC107" i="7"/>
  <c r="AC140" i="7" s="1"/>
  <c r="AI127" i="7"/>
  <c r="AI128" i="7" s="1"/>
  <c r="AI164" i="7"/>
  <c r="AI101" i="7"/>
  <c r="AJ56" i="7"/>
  <c r="AJ498" i="7"/>
  <c r="AJ362" i="7"/>
  <c r="AJ669" i="7"/>
  <c r="AJ644" i="7"/>
  <c r="AJ640" i="7"/>
  <c r="AJ636" i="7"/>
  <c r="AJ607" i="7"/>
  <c r="AJ602" i="7"/>
  <c r="AJ648" i="7"/>
  <c r="AJ33" i="7"/>
  <c r="AJ37" i="7"/>
  <c r="AJ30" i="7"/>
  <c r="AJ752" i="7"/>
  <c r="AJ750" i="7"/>
  <c r="AJ748" i="7"/>
  <c r="AJ746" i="7"/>
  <c r="AJ744" i="7"/>
  <c r="AJ751" i="7"/>
  <c r="AJ721" i="7"/>
  <c r="AJ747" i="7"/>
  <c r="AJ745" i="7"/>
  <c r="AJ719" i="7"/>
  <c r="AJ717" i="7"/>
  <c r="AJ753" i="7"/>
  <c r="AJ749" i="7"/>
  <c r="AJ720" i="7"/>
  <c r="AJ718" i="7"/>
  <c r="AJ716" i="7"/>
  <c r="AJ714" i="7"/>
  <c r="AJ712" i="7"/>
  <c r="AJ688" i="7"/>
  <c r="AJ686" i="7"/>
  <c r="AJ685" i="7"/>
  <c r="AJ684" i="7"/>
  <c r="AJ683" i="7"/>
  <c r="AJ682" i="7"/>
  <c r="AJ681" i="7"/>
  <c r="AJ680" i="7"/>
  <c r="AJ689" i="7"/>
  <c r="AJ713" i="7"/>
  <c r="AJ687" i="7"/>
  <c r="AJ715" i="7"/>
  <c r="AJ774" i="7"/>
  <c r="AJ23" i="7"/>
  <c r="AJ281" i="7" s="1"/>
  <c r="AJ58" i="7"/>
  <c r="AE657" i="7"/>
  <c r="AE141" i="7" s="1"/>
  <c r="AE764" i="7"/>
  <c r="AE763" i="7"/>
  <c r="AE762" i="7"/>
  <c r="AE760" i="7"/>
  <c r="AE759" i="7"/>
  <c r="AE758" i="7"/>
  <c r="AE756" i="7"/>
  <c r="AE433" i="7"/>
  <c r="AE432" i="7"/>
  <c r="AE431" i="7"/>
  <c r="AE430" i="7"/>
  <c r="AE429" i="7"/>
  <c r="AE428" i="7"/>
  <c r="AE427" i="7"/>
  <c r="AE426" i="7"/>
  <c r="AE424" i="7"/>
  <c r="AE407" i="7"/>
  <c r="AE406" i="7"/>
  <c r="AE405" i="7"/>
  <c r="AE404" i="7"/>
  <c r="AE403" i="7"/>
  <c r="AE402" i="7"/>
  <c r="AE401" i="7"/>
  <c r="AE425" i="7"/>
  <c r="AE733" i="7"/>
  <c r="AE732" i="7"/>
  <c r="AE731" i="7"/>
  <c r="AE730" i="7"/>
  <c r="AE729" i="7"/>
  <c r="AE728" i="7"/>
  <c r="AE727" i="7"/>
  <c r="AE726" i="7"/>
  <c r="AE724" i="7"/>
  <c r="AE382" i="7"/>
  <c r="AE381" i="7"/>
  <c r="AE380" i="7"/>
  <c r="AE379" i="7"/>
  <c r="AE378" i="7"/>
  <c r="AE377" i="7"/>
  <c r="AE400" i="7"/>
  <c r="AE399" i="7"/>
  <c r="AE398" i="7"/>
  <c r="AE701" i="7"/>
  <c r="AE700" i="7"/>
  <c r="AE699" i="7"/>
  <c r="AE698" i="7"/>
  <c r="AE697" i="7"/>
  <c r="AE696" i="7"/>
  <c r="AE695" i="7"/>
  <c r="AE692" i="7"/>
  <c r="AE375" i="7"/>
  <c r="AE376" i="7"/>
  <c r="AE374" i="7"/>
  <c r="AE373" i="7"/>
  <c r="AE608" i="7"/>
  <c r="AE603" i="7"/>
  <c r="AE489" i="7"/>
  <c r="AE488" i="7"/>
  <c r="AE487" i="7"/>
  <c r="AE486" i="7"/>
  <c r="AE485" i="7"/>
  <c r="AE484" i="7"/>
  <c r="AE504" i="7"/>
  <c r="AE368" i="7"/>
  <c r="AE353" i="7"/>
  <c r="AE352" i="7"/>
  <c r="AE351" i="7"/>
  <c r="AE350" i="7"/>
  <c r="AE349" i="7"/>
  <c r="AE348" i="7"/>
  <c r="AE32" i="7"/>
  <c r="AD512" i="7"/>
  <c r="AD369" i="7"/>
  <c r="AD510" i="7"/>
  <c r="AD518" i="7"/>
  <c r="AD509" i="7"/>
  <c r="AD513" i="7"/>
  <c r="AD517" i="7"/>
  <c r="AD537" i="7"/>
  <c r="AD541" i="7"/>
  <c r="AD561" i="7"/>
  <c r="AD565" i="7"/>
  <c r="AD569" i="7"/>
  <c r="AD538" i="7"/>
  <c r="AD542" i="7"/>
  <c r="AD562" i="7"/>
  <c r="AD566" i="7"/>
  <c r="AD570" i="7"/>
  <c r="AD34" i="7"/>
  <c r="AD690" i="7"/>
  <c r="AD675" i="7" s="1"/>
  <c r="AD104" i="7" s="1"/>
  <c r="AD722" i="7"/>
  <c r="AD707" i="7" s="1"/>
  <c r="AD105" i="7" s="1"/>
  <c r="AD754" i="7"/>
  <c r="AD739" i="7" s="1"/>
  <c r="AD106" i="7" s="1"/>
  <c r="AD516" i="7"/>
  <c r="AD514" i="7"/>
  <c r="AD511" i="7"/>
  <c r="AD515" i="7"/>
  <c r="AD535" i="7"/>
  <c r="AD539" i="7"/>
  <c r="AD543" i="7"/>
  <c r="AD563" i="7"/>
  <c r="AD567" i="7"/>
  <c r="AD505" i="7"/>
  <c r="AD536" i="7"/>
  <c r="AD540" i="7"/>
  <c r="AD544" i="7"/>
  <c r="AD564" i="7"/>
  <c r="AD568" i="7"/>
  <c r="AJ214" i="7" l="1"/>
  <c r="AJ232" i="7"/>
  <c r="AJ143" i="7"/>
  <c r="AC117" i="7"/>
  <c r="AD107" i="7"/>
  <c r="AD140" i="7" s="1"/>
  <c r="AJ252" i="7"/>
  <c r="AJ94" i="7"/>
  <c r="AJ127" i="7"/>
  <c r="AJ128" i="7" s="1"/>
  <c r="AJ164" i="7"/>
  <c r="AK56" i="7"/>
  <c r="AK498" i="7"/>
  <c r="AK362" i="7"/>
  <c r="AJ101" i="7"/>
  <c r="AK669" i="7"/>
  <c r="AK607" i="7"/>
  <c r="AK602" i="7"/>
  <c r="AK648" i="7"/>
  <c r="AK644" i="7"/>
  <c r="AK640" i="7"/>
  <c r="AK636" i="7"/>
  <c r="AK33" i="7"/>
  <c r="AK37" i="7"/>
  <c r="AK30" i="7"/>
  <c r="AK753" i="7"/>
  <c r="AK751" i="7"/>
  <c r="AK749" i="7"/>
  <c r="AK747" i="7"/>
  <c r="AK745" i="7"/>
  <c r="AK744" i="7"/>
  <c r="AK721" i="7"/>
  <c r="AK750" i="7"/>
  <c r="AK746" i="7"/>
  <c r="AK752" i="7"/>
  <c r="AK748" i="7"/>
  <c r="AK720" i="7"/>
  <c r="AK718" i="7"/>
  <c r="AK716" i="7"/>
  <c r="AK719" i="7"/>
  <c r="AK717" i="7"/>
  <c r="AK715" i="7"/>
  <c r="AK713" i="7"/>
  <c r="AK689" i="7"/>
  <c r="AK712" i="7"/>
  <c r="AK687" i="7"/>
  <c r="AK685" i="7"/>
  <c r="AK683" i="7"/>
  <c r="AK681" i="7"/>
  <c r="AK714" i="7"/>
  <c r="AK688" i="7"/>
  <c r="AK686" i="7"/>
  <c r="AK684" i="7"/>
  <c r="AK682" i="7"/>
  <c r="AK680" i="7"/>
  <c r="AK774" i="7"/>
  <c r="AK58" i="7"/>
  <c r="AK23" i="7"/>
  <c r="AK281" i="7" s="1"/>
  <c r="AE690" i="7"/>
  <c r="AE675" i="7" s="1"/>
  <c r="AE104" i="7" s="1"/>
  <c r="AE722" i="7"/>
  <c r="AE707" i="7" s="1"/>
  <c r="AE105" i="7" s="1"/>
  <c r="AE515" i="7"/>
  <c r="AE509" i="7"/>
  <c r="AE517" i="7"/>
  <c r="AE512" i="7"/>
  <c r="AE516" i="7"/>
  <c r="AE536" i="7"/>
  <c r="AE540" i="7"/>
  <c r="AE544" i="7"/>
  <c r="AE564" i="7"/>
  <c r="AE568" i="7"/>
  <c r="AE537" i="7"/>
  <c r="AE541" i="7"/>
  <c r="AE561" i="7"/>
  <c r="AE565" i="7"/>
  <c r="AE569" i="7"/>
  <c r="AE34" i="7"/>
  <c r="AE754" i="7"/>
  <c r="AE739" i="7" s="1"/>
  <c r="AE106" i="7" s="1"/>
  <c r="AF764" i="7"/>
  <c r="AF763" i="7"/>
  <c r="AF762" i="7"/>
  <c r="AF760" i="7"/>
  <c r="AF759" i="7"/>
  <c r="AF758" i="7"/>
  <c r="AF756" i="7"/>
  <c r="AF433" i="7"/>
  <c r="AF432" i="7"/>
  <c r="AF431" i="7"/>
  <c r="AF430" i="7"/>
  <c r="AF429" i="7"/>
  <c r="AF428" i="7"/>
  <c r="AF427" i="7"/>
  <c r="AF426" i="7"/>
  <c r="AF425" i="7"/>
  <c r="AF424" i="7"/>
  <c r="AF733" i="7"/>
  <c r="AF732" i="7"/>
  <c r="AF731" i="7"/>
  <c r="AF730" i="7"/>
  <c r="AF729" i="7"/>
  <c r="AF728" i="7"/>
  <c r="AF727" i="7"/>
  <c r="AF726" i="7"/>
  <c r="AF724" i="7"/>
  <c r="AF407" i="7"/>
  <c r="AF406" i="7"/>
  <c r="AF405" i="7"/>
  <c r="AF404" i="7"/>
  <c r="AF403" i="7"/>
  <c r="AF402" i="7"/>
  <c r="AF401" i="7"/>
  <c r="AF400" i="7"/>
  <c r="AF399" i="7"/>
  <c r="AF398" i="7"/>
  <c r="AF701" i="7"/>
  <c r="AF700" i="7"/>
  <c r="AF699" i="7"/>
  <c r="AF698" i="7"/>
  <c r="AF697" i="7"/>
  <c r="AF696" i="7"/>
  <c r="AF695" i="7"/>
  <c r="AF692" i="7"/>
  <c r="AF382" i="7"/>
  <c r="AF381" i="7"/>
  <c r="AF380" i="7"/>
  <c r="AF379" i="7"/>
  <c r="AF378" i="7"/>
  <c r="AF377" i="7"/>
  <c r="AF376" i="7"/>
  <c r="AF375" i="7"/>
  <c r="AF374" i="7"/>
  <c r="AF373" i="7"/>
  <c r="AF608" i="7"/>
  <c r="AF603" i="7"/>
  <c r="AF504" i="7"/>
  <c r="AF489" i="7"/>
  <c r="AF488" i="7"/>
  <c r="AF487" i="7"/>
  <c r="AF486" i="7"/>
  <c r="AF485" i="7"/>
  <c r="AF484" i="7"/>
  <c r="AF368" i="7"/>
  <c r="AF353" i="7"/>
  <c r="AF352" i="7"/>
  <c r="AF351" i="7"/>
  <c r="AF350" i="7"/>
  <c r="AF349" i="7"/>
  <c r="AF348" i="7"/>
  <c r="AF32" i="7"/>
  <c r="AE369" i="7"/>
  <c r="AE511" i="7"/>
  <c r="AE513" i="7"/>
  <c r="AE510" i="7"/>
  <c r="AE514" i="7"/>
  <c r="AE518" i="7"/>
  <c r="AE538" i="7"/>
  <c r="AE542" i="7"/>
  <c r="AE562" i="7"/>
  <c r="AE566" i="7"/>
  <c r="AE570" i="7"/>
  <c r="AE535" i="7"/>
  <c r="AE539" i="7"/>
  <c r="AE543" i="7"/>
  <c r="AE563" i="7"/>
  <c r="AE567" i="7"/>
  <c r="AE505" i="7"/>
  <c r="AK214" i="7" l="1"/>
  <c r="AK232" i="7"/>
  <c r="AK143" i="7"/>
  <c r="AD117" i="7"/>
  <c r="AE107" i="7"/>
  <c r="AK252" i="7"/>
  <c r="AK94" i="7"/>
  <c r="AK127" i="7"/>
  <c r="AK128" i="7" s="1"/>
  <c r="AK164" i="7"/>
  <c r="AK101" i="7"/>
  <c r="AL56" i="7"/>
  <c r="AL498" i="7"/>
  <c r="AL362" i="7"/>
  <c r="AL669" i="7"/>
  <c r="AL648" i="7"/>
  <c r="AL644" i="7"/>
  <c r="AL640" i="7"/>
  <c r="AL636" i="7"/>
  <c r="AL607" i="7"/>
  <c r="AL602" i="7"/>
  <c r="AL33" i="7"/>
  <c r="AL37" i="7"/>
  <c r="AL30" i="7"/>
  <c r="AL753" i="7"/>
  <c r="AL751" i="7"/>
  <c r="AL749" i="7"/>
  <c r="AL747" i="7"/>
  <c r="AL745" i="7"/>
  <c r="AL720" i="7"/>
  <c r="AL719" i="7"/>
  <c r="AL718" i="7"/>
  <c r="AL717" i="7"/>
  <c r="AL716" i="7"/>
  <c r="AL715" i="7"/>
  <c r="AL714" i="7"/>
  <c r="AL713" i="7"/>
  <c r="AL712" i="7"/>
  <c r="AL689" i="7"/>
  <c r="AL688" i="7"/>
  <c r="AL687" i="7"/>
  <c r="AL752" i="7"/>
  <c r="AL746" i="7"/>
  <c r="AL748" i="7"/>
  <c r="AL744" i="7"/>
  <c r="AL750" i="7"/>
  <c r="AL721" i="7"/>
  <c r="AL685" i="7"/>
  <c r="AL683" i="7"/>
  <c r="AL681" i="7"/>
  <c r="AL686" i="7"/>
  <c r="AL684" i="7"/>
  <c r="AL682" i="7"/>
  <c r="AL680" i="7"/>
  <c r="AL774" i="7"/>
  <c r="AL58" i="7"/>
  <c r="AL23" i="7"/>
  <c r="AL281" i="7" s="1"/>
  <c r="AG657" i="7"/>
  <c r="AG141" i="7" s="1"/>
  <c r="C489" i="7"/>
  <c r="C353" i="7"/>
  <c r="AF722" i="7"/>
  <c r="AF707" i="7" s="1"/>
  <c r="AF105" i="7" s="1"/>
  <c r="AF34" i="7"/>
  <c r="AF690" i="7"/>
  <c r="AF675" i="7" s="1"/>
  <c r="AF104" i="7" s="1"/>
  <c r="AF754" i="7"/>
  <c r="AF739" i="7" s="1"/>
  <c r="AF106" i="7" s="1"/>
  <c r="AG765" i="7"/>
  <c r="AG764" i="7"/>
  <c r="AG763" i="7"/>
  <c r="AG761" i="7"/>
  <c r="AG760" i="7"/>
  <c r="AG759" i="7"/>
  <c r="AG758" i="7"/>
  <c r="AG433" i="7"/>
  <c r="AG431" i="7"/>
  <c r="AG430" i="7"/>
  <c r="AG429" i="7"/>
  <c r="AG428" i="7"/>
  <c r="AG427" i="7"/>
  <c r="AG426" i="7"/>
  <c r="AG756" i="7"/>
  <c r="AG425" i="7"/>
  <c r="AG407" i="7"/>
  <c r="AG406" i="7"/>
  <c r="AG405" i="7"/>
  <c r="AG404" i="7"/>
  <c r="AG403" i="7"/>
  <c r="AG402" i="7"/>
  <c r="AG401" i="7"/>
  <c r="AG424" i="7"/>
  <c r="AG733" i="7"/>
  <c r="AG732" i="7"/>
  <c r="AG731" i="7"/>
  <c r="AG730" i="7"/>
  <c r="AG729" i="7"/>
  <c r="AG728" i="7"/>
  <c r="AG727" i="7"/>
  <c r="AG725" i="7"/>
  <c r="AG724" i="7"/>
  <c r="AG400" i="7"/>
  <c r="AG382" i="7"/>
  <c r="AG381" i="7"/>
  <c r="AG380" i="7"/>
  <c r="AG379" i="7"/>
  <c r="AG378" i="7"/>
  <c r="AG377" i="7"/>
  <c r="AG399" i="7"/>
  <c r="AG398" i="7"/>
  <c r="AG701" i="7"/>
  <c r="AG700" i="7"/>
  <c r="AG699" i="7"/>
  <c r="AG698" i="7"/>
  <c r="AG697" i="7"/>
  <c r="AG696" i="7"/>
  <c r="AG695" i="7"/>
  <c r="AG693" i="7"/>
  <c r="AG692" i="7"/>
  <c r="AG376" i="7"/>
  <c r="AG375" i="7"/>
  <c r="AG374" i="7"/>
  <c r="AG373" i="7"/>
  <c r="AG608" i="7"/>
  <c r="AG603" i="7"/>
  <c r="AG489" i="7"/>
  <c r="AG488" i="7"/>
  <c r="AG487" i="7"/>
  <c r="AG486" i="7"/>
  <c r="AG485" i="7"/>
  <c r="AG484" i="7"/>
  <c r="AG432" i="7"/>
  <c r="AG504" i="7"/>
  <c r="AG368" i="7"/>
  <c r="AG353" i="7"/>
  <c r="AG352" i="7"/>
  <c r="AG351" i="7"/>
  <c r="AG350" i="7"/>
  <c r="AG349" i="7"/>
  <c r="AG348" i="7"/>
  <c r="AG32" i="7"/>
  <c r="AF514" i="7"/>
  <c r="AF369" i="7"/>
  <c r="AF512" i="7"/>
  <c r="AF511" i="7"/>
  <c r="AF515" i="7"/>
  <c r="AF535" i="7"/>
  <c r="AF539" i="7"/>
  <c r="AF543" i="7"/>
  <c r="AF563" i="7"/>
  <c r="AF567" i="7"/>
  <c r="AF505" i="7"/>
  <c r="AF536" i="7"/>
  <c r="AF540" i="7"/>
  <c r="AF544" i="7"/>
  <c r="AF564" i="7"/>
  <c r="AF568" i="7"/>
  <c r="AF510" i="7"/>
  <c r="AF518" i="7"/>
  <c r="AF516" i="7"/>
  <c r="AF509" i="7"/>
  <c r="AF513" i="7"/>
  <c r="AF517" i="7"/>
  <c r="AF537" i="7"/>
  <c r="AF541" i="7"/>
  <c r="AF561" i="7"/>
  <c r="AF565" i="7"/>
  <c r="AF569" i="7"/>
  <c r="AF538" i="7"/>
  <c r="AF542" i="7"/>
  <c r="AF562" i="7"/>
  <c r="AF566" i="7"/>
  <c r="AF570" i="7"/>
  <c r="AL232" i="7" l="1"/>
  <c r="AL214" i="7"/>
  <c r="AL143" i="7"/>
  <c r="AE117" i="7"/>
  <c r="AE140" i="7"/>
  <c r="AL252" i="7"/>
  <c r="AL94" i="7"/>
  <c r="AF107" i="7"/>
  <c r="AF140" i="7" s="1"/>
  <c r="AL127" i="7"/>
  <c r="AL128" i="7" s="1"/>
  <c r="AL164" i="7"/>
  <c r="AM56" i="7"/>
  <c r="AM498" i="7"/>
  <c r="AM362" i="7"/>
  <c r="AL101" i="7"/>
  <c r="AM669" i="7"/>
  <c r="AM602" i="7"/>
  <c r="AM607" i="7"/>
  <c r="AM640" i="7"/>
  <c r="AM648" i="7"/>
  <c r="AM644" i="7"/>
  <c r="AM636" i="7"/>
  <c r="AM33" i="7"/>
  <c r="AM37" i="7"/>
  <c r="AM30" i="7"/>
  <c r="AM753" i="7"/>
  <c r="AM752" i="7"/>
  <c r="AM751" i="7"/>
  <c r="AM750" i="7"/>
  <c r="AM749" i="7"/>
  <c r="AM748" i="7"/>
  <c r="AM747" i="7"/>
  <c r="AM746" i="7"/>
  <c r="AM745" i="7"/>
  <c r="AM721" i="7"/>
  <c r="AM744" i="7"/>
  <c r="AM720" i="7"/>
  <c r="AM718" i="7"/>
  <c r="AM716" i="7"/>
  <c r="AM719" i="7"/>
  <c r="AM717" i="7"/>
  <c r="AM715" i="7"/>
  <c r="AM713" i="7"/>
  <c r="AM689" i="7"/>
  <c r="AM687" i="7"/>
  <c r="AM683" i="7"/>
  <c r="AM712" i="7"/>
  <c r="AM686" i="7"/>
  <c r="AM684" i="7"/>
  <c r="AM682" i="7"/>
  <c r="AM680" i="7"/>
  <c r="AM714" i="7"/>
  <c r="AM688" i="7"/>
  <c r="AM685" i="7"/>
  <c r="AM681" i="7"/>
  <c r="AM774" i="7"/>
  <c r="AM23" i="7"/>
  <c r="AM281" i="7" s="1"/>
  <c r="AM58" i="7"/>
  <c r="AH657" i="7"/>
  <c r="AH141" i="7" s="1"/>
  <c r="AG754" i="7"/>
  <c r="AG739" i="7" s="1"/>
  <c r="AG106" i="7" s="1"/>
  <c r="AH765" i="7"/>
  <c r="AH764" i="7"/>
  <c r="AH763" i="7"/>
  <c r="AH761" i="7"/>
  <c r="AH760" i="7"/>
  <c r="AH759" i="7"/>
  <c r="AH758" i="7"/>
  <c r="AH756" i="7"/>
  <c r="AH433" i="7"/>
  <c r="AH432" i="7"/>
  <c r="AH431" i="7"/>
  <c r="AH430" i="7"/>
  <c r="AH429" i="7"/>
  <c r="AH427" i="7"/>
  <c r="AH426" i="7"/>
  <c r="AH425" i="7"/>
  <c r="AH424" i="7"/>
  <c r="AH733" i="7"/>
  <c r="AH732" i="7"/>
  <c r="AH731" i="7"/>
  <c r="AH730" i="7"/>
  <c r="AH729" i="7"/>
  <c r="AH728" i="7"/>
  <c r="AH727" i="7"/>
  <c r="AH725" i="7"/>
  <c r="AH724" i="7"/>
  <c r="AH407" i="7"/>
  <c r="AH406" i="7"/>
  <c r="AH405" i="7"/>
  <c r="AH404" i="7"/>
  <c r="AH403" i="7"/>
  <c r="AH402" i="7"/>
  <c r="AH401" i="7"/>
  <c r="AH400" i="7"/>
  <c r="AH399" i="7"/>
  <c r="AH398" i="7"/>
  <c r="AH701" i="7"/>
  <c r="AH700" i="7"/>
  <c r="AH699" i="7"/>
  <c r="AH698" i="7"/>
  <c r="AH697" i="7"/>
  <c r="AH696" i="7"/>
  <c r="AH695" i="7"/>
  <c r="AH693" i="7"/>
  <c r="AH692" i="7"/>
  <c r="AH382" i="7"/>
  <c r="AH381" i="7"/>
  <c r="AH380" i="7"/>
  <c r="AH379" i="7"/>
  <c r="AH378" i="7"/>
  <c r="AH377" i="7"/>
  <c r="AH376" i="7"/>
  <c r="AH375" i="7"/>
  <c r="AH374" i="7"/>
  <c r="AH373" i="7"/>
  <c r="AH608" i="7"/>
  <c r="AH603" i="7"/>
  <c r="AH504" i="7"/>
  <c r="AH489" i="7"/>
  <c r="AH488" i="7"/>
  <c r="AH487" i="7"/>
  <c r="AH486" i="7"/>
  <c r="AH485" i="7"/>
  <c r="AH484" i="7"/>
  <c r="AH428" i="7"/>
  <c r="AH368" i="7"/>
  <c r="AH353" i="7"/>
  <c r="AH352" i="7"/>
  <c r="AH351" i="7"/>
  <c r="AH350" i="7"/>
  <c r="AH349" i="7"/>
  <c r="AH348" i="7"/>
  <c r="AH32" i="7"/>
  <c r="AG369" i="7"/>
  <c r="AG513" i="7"/>
  <c r="AG511" i="7"/>
  <c r="AG510" i="7"/>
  <c r="AG514" i="7"/>
  <c r="AG518" i="7"/>
  <c r="AG538" i="7"/>
  <c r="AG542" i="7"/>
  <c r="AG562" i="7"/>
  <c r="AG566" i="7"/>
  <c r="AG570" i="7"/>
  <c r="AG535" i="7"/>
  <c r="AG539" i="7"/>
  <c r="AG543" i="7"/>
  <c r="AG563" i="7"/>
  <c r="AG567" i="7"/>
  <c r="AG505" i="7"/>
  <c r="AG34" i="7"/>
  <c r="AG690" i="7"/>
  <c r="AG675" i="7" s="1"/>
  <c r="AG104" i="7" s="1"/>
  <c r="AG722" i="7"/>
  <c r="AG707" i="7" s="1"/>
  <c r="AG105" i="7" s="1"/>
  <c r="AG509" i="7"/>
  <c r="AG517" i="7"/>
  <c r="AG515" i="7"/>
  <c r="AG512" i="7"/>
  <c r="AG516" i="7"/>
  <c r="AG536" i="7"/>
  <c r="AG540" i="7"/>
  <c r="AG544" i="7"/>
  <c r="AG564" i="7"/>
  <c r="AG568" i="7"/>
  <c r="AG537" i="7"/>
  <c r="AG541" i="7"/>
  <c r="AG561" i="7"/>
  <c r="AG565" i="7"/>
  <c r="AG569" i="7"/>
  <c r="AM214" i="7" l="1"/>
  <c r="AM232" i="7"/>
  <c r="AM143" i="7"/>
  <c r="AG107" i="7"/>
  <c r="AG140" i="7" s="1"/>
  <c r="AM252" i="7"/>
  <c r="AM94" i="7"/>
  <c r="AM127" i="7"/>
  <c r="AM128" i="7" s="1"/>
  <c r="AM164" i="7"/>
  <c r="AN56" i="7"/>
  <c r="AN498" i="7"/>
  <c r="AN362" i="7"/>
  <c r="AM101" i="7"/>
  <c r="AN669" i="7"/>
  <c r="AN607" i="7"/>
  <c r="AN602" i="7"/>
  <c r="AN648" i="7"/>
  <c r="AN644" i="7"/>
  <c r="AN640" i="7"/>
  <c r="AN636" i="7"/>
  <c r="AN33" i="7"/>
  <c r="AN37" i="7"/>
  <c r="AN30" i="7"/>
  <c r="AN752" i="7"/>
  <c r="AN750" i="7"/>
  <c r="AN748" i="7"/>
  <c r="AN746" i="7"/>
  <c r="AN751" i="7"/>
  <c r="AN747" i="7"/>
  <c r="AN745" i="7"/>
  <c r="AN718" i="7"/>
  <c r="AN714" i="7"/>
  <c r="AN712" i="7"/>
  <c r="AN753" i="7"/>
  <c r="AN749" i="7"/>
  <c r="AN721" i="7"/>
  <c r="AN719" i="7"/>
  <c r="AN717" i="7"/>
  <c r="AN715" i="7"/>
  <c r="AN744" i="7"/>
  <c r="AN686" i="7"/>
  <c r="AN685" i="7"/>
  <c r="AN684" i="7"/>
  <c r="AN683" i="7"/>
  <c r="AN682" i="7"/>
  <c r="AN681" i="7"/>
  <c r="AN680" i="7"/>
  <c r="AN720" i="7"/>
  <c r="AN716" i="7"/>
  <c r="AN688" i="7"/>
  <c r="AN687" i="7"/>
  <c r="AN713" i="7"/>
  <c r="AN689" i="7"/>
  <c r="AN774" i="7"/>
  <c r="AN23" i="7"/>
  <c r="AN281" i="7" s="1"/>
  <c r="AN58" i="7"/>
  <c r="AI657" i="7"/>
  <c r="AI141" i="7" s="1"/>
  <c r="AH34" i="7"/>
  <c r="AH690" i="7"/>
  <c r="AH675" i="7" s="1"/>
  <c r="AH104" i="7" s="1"/>
  <c r="AI765" i="7"/>
  <c r="AI764" i="7"/>
  <c r="AI763" i="7"/>
  <c r="AI761" i="7"/>
  <c r="AI760" i="7"/>
  <c r="AI759" i="7"/>
  <c r="AI758" i="7"/>
  <c r="AI756" i="7"/>
  <c r="AI433" i="7"/>
  <c r="AI432" i="7"/>
  <c r="AI431" i="7"/>
  <c r="AI430" i="7"/>
  <c r="AI429" i="7"/>
  <c r="AI428" i="7"/>
  <c r="AI427" i="7"/>
  <c r="AI426" i="7"/>
  <c r="AI424" i="7"/>
  <c r="AI407" i="7"/>
  <c r="AI406" i="7"/>
  <c r="AI405" i="7"/>
  <c r="AI404" i="7"/>
  <c r="AI403" i="7"/>
  <c r="AI402" i="7"/>
  <c r="AI401" i="7"/>
  <c r="AI425" i="7"/>
  <c r="AI733" i="7"/>
  <c r="AI732" i="7"/>
  <c r="AI731" i="7"/>
  <c r="AI730" i="7"/>
  <c r="AI729" i="7"/>
  <c r="AI728" i="7"/>
  <c r="AI727" i="7"/>
  <c r="AI725" i="7"/>
  <c r="AI724" i="7"/>
  <c r="AI382" i="7"/>
  <c r="AI381" i="7"/>
  <c r="AI380" i="7"/>
  <c r="AI379" i="7"/>
  <c r="AI378" i="7"/>
  <c r="AI377" i="7"/>
  <c r="AI400" i="7"/>
  <c r="AI399" i="7"/>
  <c r="AI398" i="7"/>
  <c r="AI701" i="7"/>
  <c r="AI700" i="7"/>
  <c r="AI699" i="7"/>
  <c r="AI698" i="7"/>
  <c r="AI697" i="7"/>
  <c r="AI696" i="7"/>
  <c r="AI695" i="7"/>
  <c r="AI693" i="7"/>
  <c r="AI692" i="7"/>
  <c r="AI375" i="7"/>
  <c r="AI376" i="7"/>
  <c r="AI374" i="7"/>
  <c r="AI373" i="7"/>
  <c r="AI608" i="7"/>
  <c r="AI603" i="7"/>
  <c r="AI489" i="7"/>
  <c r="AI488" i="7"/>
  <c r="AI487" i="7"/>
  <c r="AI486" i="7"/>
  <c r="AI485" i="7"/>
  <c r="AI484" i="7"/>
  <c r="AI504" i="7"/>
  <c r="AI368" i="7"/>
  <c r="AI353" i="7"/>
  <c r="AI352" i="7"/>
  <c r="AI351" i="7"/>
  <c r="AI350" i="7"/>
  <c r="AI349" i="7"/>
  <c r="AI348" i="7"/>
  <c r="AI32" i="7"/>
  <c r="AH516" i="7"/>
  <c r="AH514" i="7"/>
  <c r="AH511" i="7"/>
  <c r="AH515" i="7"/>
  <c r="AH535" i="7"/>
  <c r="AH539" i="7"/>
  <c r="AH543" i="7"/>
  <c r="AH563" i="7"/>
  <c r="AH567" i="7"/>
  <c r="AH505" i="7"/>
  <c r="AH536" i="7"/>
  <c r="AH540" i="7"/>
  <c r="AH544" i="7"/>
  <c r="AH564" i="7"/>
  <c r="AH568" i="7"/>
  <c r="AH512" i="7"/>
  <c r="AH369" i="7"/>
  <c r="AH510" i="7"/>
  <c r="AH518" i="7"/>
  <c r="AH509" i="7"/>
  <c r="AH513" i="7"/>
  <c r="AH517" i="7"/>
  <c r="AH537" i="7"/>
  <c r="AH541" i="7"/>
  <c r="AH561" i="7"/>
  <c r="AH565" i="7"/>
  <c r="AH569" i="7"/>
  <c r="AH538" i="7"/>
  <c r="AH542" i="7"/>
  <c r="AH562" i="7"/>
  <c r="AH566" i="7"/>
  <c r="AH570" i="7"/>
  <c r="AH722" i="7"/>
  <c r="AH707" i="7" s="1"/>
  <c r="AH105" i="7" s="1"/>
  <c r="AH754" i="7"/>
  <c r="AH739" i="7" s="1"/>
  <c r="AH106" i="7" s="1"/>
  <c r="AN214" i="7" l="1"/>
  <c r="AN232" i="7"/>
  <c r="AN143" i="7"/>
  <c r="AG117" i="7"/>
  <c r="AH107" i="7"/>
  <c r="AH140" i="7" s="1"/>
  <c r="AN252" i="7"/>
  <c r="AN94" i="7"/>
  <c r="AN127" i="7"/>
  <c r="AN128" i="7" s="1"/>
  <c r="AN164" i="7"/>
  <c r="AO56" i="7"/>
  <c r="AO498" i="7"/>
  <c r="AO362" i="7"/>
  <c r="AN101" i="7"/>
  <c r="AO669" i="7"/>
  <c r="AO607" i="7"/>
  <c r="AO602" i="7"/>
  <c r="AO648" i="7"/>
  <c r="AO644" i="7"/>
  <c r="AO640" i="7"/>
  <c r="AO636" i="7"/>
  <c r="AO33" i="7"/>
  <c r="AO37" i="7"/>
  <c r="AO30" i="7"/>
  <c r="AO744" i="7"/>
  <c r="AO721" i="7"/>
  <c r="AO752" i="7"/>
  <c r="AO750" i="7"/>
  <c r="AO748" i="7"/>
  <c r="AO746" i="7"/>
  <c r="AO753" i="7"/>
  <c r="AO747" i="7"/>
  <c r="AO749" i="7"/>
  <c r="AO719" i="7"/>
  <c r="AO717" i="7"/>
  <c r="AO751" i="7"/>
  <c r="AO745" i="7"/>
  <c r="AO720" i="7"/>
  <c r="AO718" i="7"/>
  <c r="AO716" i="7"/>
  <c r="AO714" i="7"/>
  <c r="AO712" i="7"/>
  <c r="AO688" i="7"/>
  <c r="AO713" i="7"/>
  <c r="AO686" i="7"/>
  <c r="AO684" i="7"/>
  <c r="AO682" i="7"/>
  <c r="AO680" i="7"/>
  <c r="AO715" i="7"/>
  <c r="AO689" i="7"/>
  <c r="AO685" i="7"/>
  <c r="AO683" i="7"/>
  <c r="AO681" i="7"/>
  <c r="AO687" i="7"/>
  <c r="AO774" i="7"/>
  <c r="AO58" i="7"/>
  <c r="AO23" i="7"/>
  <c r="AO281" i="7" s="1"/>
  <c r="AJ657" i="7"/>
  <c r="AJ141" i="7" s="1"/>
  <c r="AJ765" i="7"/>
  <c r="AJ764" i="7"/>
  <c r="AJ763" i="7"/>
  <c r="AJ761" i="7"/>
  <c r="AJ760" i="7"/>
  <c r="AJ759" i="7"/>
  <c r="AJ758" i="7"/>
  <c r="AJ756" i="7"/>
  <c r="AJ433" i="7"/>
  <c r="AJ432" i="7"/>
  <c r="AJ431" i="7"/>
  <c r="AJ430" i="7"/>
  <c r="AJ429" i="7"/>
  <c r="AJ428" i="7"/>
  <c r="AJ427" i="7"/>
  <c r="AJ426" i="7"/>
  <c r="AJ425" i="7"/>
  <c r="AJ733" i="7"/>
  <c r="AJ732" i="7"/>
  <c r="AJ731" i="7"/>
  <c r="AJ730" i="7"/>
  <c r="AJ729" i="7"/>
  <c r="AJ728" i="7"/>
  <c r="AJ727" i="7"/>
  <c r="AJ725" i="7"/>
  <c r="AJ724" i="7"/>
  <c r="AJ407" i="7"/>
  <c r="AJ406" i="7"/>
  <c r="AJ405" i="7"/>
  <c r="AJ404" i="7"/>
  <c r="AJ403" i="7"/>
  <c r="AJ402" i="7"/>
  <c r="AJ401" i="7"/>
  <c r="AJ400" i="7"/>
  <c r="AJ399" i="7"/>
  <c r="AJ398" i="7"/>
  <c r="AJ701" i="7"/>
  <c r="AJ700" i="7"/>
  <c r="AJ699" i="7"/>
  <c r="AJ698" i="7"/>
  <c r="AJ697" i="7"/>
  <c r="AJ696" i="7"/>
  <c r="AJ695" i="7"/>
  <c r="AJ693" i="7"/>
  <c r="AJ692" i="7"/>
  <c r="AJ382" i="7"/>
  <c r="AJ381" i="7"/>
  <c r="AJ380" i="7"/>
  <c r="AJ379" i="7"/>
  <c r="AJ378" i="7"/>
  <c r="AJ377" i="7"/>
  <c r="AJ376" i="7"/>
  <c r="AJ375" i="7"/>
  <c r="AJ374" i="7"/>
  <c r="AJ373" i="7"/>
  <c r="AJ608" i="7"/>
  <c r="AJ603" i="7"/>
  <c r="AJ504" i="7"/>
  <c r="AJ489" i="7"/>
  <c r="AJ488" i="7"/>
  <c r="AJ487" i="7"/>
  <c r="AJ486" i="7"/>
  <c r="AJ485" i="7"/>
  <c r="AJ484" i="7"/>
  <c r="AJ424" i="7"/>
  <c r="AJ368" i="7"/>
  <c r="AJ353" i="7"/>
  <c r="AJ352" i="7"/>
  <c r="AJ351" i="7"/>
  <c r="AJ350" i="7"/>
  <c r="AJ349" i="7"/>
  <c r="AJ348" i="7"/>
  <c r="AJ32" i="7"/>
  <c r="AI369" i="7"/>
  <c r="AI511" i="7"/>
  <c r="AI513" i="7"/>
  <c r="AI510" i="7"/>
  <c r="AI514" i="7"/>
  <c r="AI518" i="7"/>
  <c r="AI538" i="7"/>
  <c r="AI542" i="7"/>
  <c r="AI562" i="7"/>
  <c r="AI566" i="7"/>
  <c r="AI570" i="7"/>
  <c r="AI535" i="7"/>
  <c r="AI539" i="7"/>
  <c r="AI543" i="7"/>
  <c r="AI563" i="7"/>
  <c r="AI567" i="7"/>
  <c r="AI505" i="7"/>
  <c r="AI34" i="7"/>
  <c r="AI690" i="7"/>
  <c r="AI675" i="7" s="1"/>
  <c r="AI104" i="7" s="1"/>
  <c r="AI722" i="7"/>
  <c r="AI707" i="7" s="1"/>
  <c r="AI105" i="7" s="1"/>
  <c r="AI515" i="7"/>
  <c r="AI509" i="7"/>
  <c r="AI517" i="7"/>
  <c r="AI512" i="7"/>
  <c r="AI516" i="7"/>
  <c r="AI536" i="7"/>
  <c r="AI540" i="7"/>
  <c r="AI544" i="7"/>
  <c r="AI564" i="7"/>
  <c r="AI568" i="7"/>
  <c r="AI537" i="7"/>
  <c r="AI541" i="7"/>
  <c r="AI561" i="7"/>
  <c r="AI565" i="7"/>
  <c r="AI569" i="7"/>
  <c r="AI754" i="7"/>
  <c r="AI739" i="7" s="1"/>
  <c r="AI106" i="7" s="1"/>
  <c r="AO214" i="7" l="1"/>
  <c r="AO232" i="7"/>
  <c r="AO143" i="7"/>
  <c r="AH117" i="7"/>
  <c r="AI107" i="7"/>
  <c r="AI140" i="7" s="1"/>
  <c r="AO252" i="7"/>
  <c r="AO94" i="7"/>
  <c r="AO127" i="7"/>
  <c r="AO128" i="7" s="1"/>
  <c r="AO164" i="7"/>
  <c r="AO101" i="7"/>
  <c r="AP56" i="7"/>
  <c r="AP498" i="7"/>
  <c r="AP362" i="7"/>
  <c r="AP669" i="7"/>
  <c r="AP607" i="7"/>
  <c r="AP644" i="7"/>
  <c r="AP640" i="7"/>
  <c r="AP636" i="7"/>
  <c r="AP602" i="7"/>
  <c r="AP648" i="7"/>
  <c r="AP33" i="7"/>
  <c r="AP37" i="7"/>
  <c r="AP30" i="7"/>
  <c r="AP753" i="7"/>
  <c r="AP751" i="7"/>
  <c r="AP749" i="7"/>
  <c r="AP747" i="7"/>
  <c r="AP745" i="7"/>
  <c r="AP752" i="7"/>
  <c r="AP748" i="7"/>
  <c r="AP744" i="7"/>
  <c r="AP720" i="7"/>
  <c r="AP719" i="7"/>
  <c r="AP718" i="7"/>
  <c r="AP717" i="7"/>
  <c r="AP716" i="7"/>
  <c r="AP715" i="7"/>
  <c r="AP714" i="7"/>
  <c r="AP713" i="7"/>
  <c r="AP712" i="7"/>
  <c r="AP689" i="7"/>
  <c r="AP688" i="7"/>
  <c r="AP687" i="7"/>
  <c r="AP721" i="7"/>
  <c r="AP750" i="7"/>
  <c r="AP746" i="7"/>
  <c r="AP685" i="7"/>
  <c r="AP683" i="7"/>
  <c r="AP681" i="7"/>
  <c r="AP686" i="7"/>
  <c r="AP684" i="7"/>
  <c r="AP682" i="7"/>
  <c r="AP680" i="7"/>
  <c r="AP774" i="7"/>
  <c r="AP58" i="7"/>
  <c r="AP23" i="7"/>
  <c r="AP281" i="7" s="1"/>
  <c r="AK657" i="7"/>
  <c r="AK141" i="7" s="1"/>
  <c r="AK765" i="7"/>
  <c r="AK764" i="7"/>
  <c r="AK763" i="7"/>
  <c r="AK761" i="7"/>
  <c r="AK760" i="7"/>
  <c r="AK759" i="7"/>
  <c r="AK758" i="7"/>
  <c r="AK433" i="7"/>
  <c r="AK431" i="7"/>
  <c r="AK430" i="7"/>
  <c r="AK429" i="7"/>
  <c r="AK428" i="7"/>
  <c r="AK427" i="7"/>
  <c r="AK426" i="7"/>
  <c r="AK756" i="7"/>
  <c r="AK425" i="7"/>
  <c r="AK407" i="7"/>
  <c r="AK406" i="7"/>
  <c r="AK405" i="7"/>
  <c r="AK404" i="7"/>
  <c r="AK403" i="7"/>
  <c r="AK402" i="7"/>
  <c r="AK401" i="7"/>
  <c r="AK424" i="7"/>
  <c r="AK733" i="7"/>
  <c r="AK732" i="7"/>
  <c r="AK731" i="7"/>
  <c r="AK730" i="7"/>
  <c r="AK729" i="7"/>
  <c r="AK728" i="7"/>
  <c r="AK727" i="7"/>
  <c r="AK725" i="7"/>
  <c r="AK724" i="7"/>
  <c r="AK400" i="7"/>
  <c r="AK382" i="7"/>
  <c r="AK381" i="7"/>
  <c r="AK380" i="7"/>
  <c r="AK379" i="7"/>
  <c r="AK378" i="7"/>
  <c r="AK377" i="7"/>
  <c r="AK399" i="7"/>
  <c r="AK398" i="7"/>
  <c r="AK701" i="7"/>
  <c r="AK700" i="7"/>
  <c r="AK699" i="7"/>
  <c r="AK698" i="7"/>
  <c r="AK697" i="7"/>
  <c r="AK696" i="7"/>
  <c r="AK695" i="7"/>
  <c r="AK693" i="7"/>
  <c r="AK692" i="7"/>
  <c r="AK376" i="7"/>
  <c r="AK375" i="7"/>
  <c r="AK374" i="7"/>
  <c r="AK373" i="7"/>
  <c r="AK608" i="7"/>
  <c r="AK603" i="7"/>
  <c r="AK489" i="7"/>
  <c r="AK488" i="7"/>
  <c r="AK487" i="7"/>
  <c r="AK486" i="7"/>
  <c r="AK485" i="7"/>
  <c r="AK484" i="7"/>
  <c r="AK432" i="7"/>
  <c r="AK504" i="7"/>
  <c r="AK368" i="7"/>
  <c r="AK353" i="7"/>
  <c r="AK352" i="7"/>
  <c r="AK351" i="7"/>
  <c r="AK350" i="7"/>
  <c r="AK349" i="7"/>
  <c r="AK348" i="7"/>
  <c r="AK32" i="7"/>
  <c r="AJ510" i="7"/>
  <c r="AJ518" i="7"/>
  <c r="AJ516" i="7"/>
  <c r="AJ509" i="7"/>
  <c r="AJ513" i="7"/>
  <c r="AJ517" i="7"/>
  <c r="AJ537" i="7"/>
  <c r="AJ541" i="7"/>
  <c r="AJ561" i="7"/>
  <c r="AJ565" i="7"/>
  <c r="AJ569" i="7"/>
  <c r="AJ538" i="7"/>
  <c r="AJ542" i="7"/>
  <c r="AJ562" i="7"/>
  <c r="AJ566" i="7"/>
  <c r="AJ570" i="7"/>
  <c r="AJ34" i="7"/>
  <c r="AJ690" i="7"/>
  <c r="AJ675" i="7" s="1"/>
  <c r="AJ104" i="7" s="1"/>
  <c r="AJ722" i="7"/>
  <c r="AJ707" i="7" s="1"/>
  <c r="AJ105" i="7" s="1"/>
  <c r="AJ754" i="7"/>
  <c r="AJ739" i="7" s="1"/>
  <c r="AJ106" i="7" s="1"/>
  <c r="AJ514" i="7"/>
  <c r="AJ369" i="7"/>
  <c r="AJ512" i="7"/>
  <c r="AJ511" i="7"/>
  <c r="AJ515" i="7"/>
  <c r="AJ535" i="7"/>
  <c r="AJ539" i="7"/>
  <c r="AJ543" i="7"/>
  <c r="AJ563" i="7"/>
  <c r="AJ567" i="7"/>
  <c r="AJ505" i="7"/>
  <c r="AJ536" i="7"/>
  <c r="AJ540" i="7"/>
  <c r="AJ544" i="7"/>
  <c r="AJ564" i="7"/>
  <c r="AJ568" i="7"/>
  <c r="AP232" i="7" l="1"/>
  <c r="AP214" i="7"/>
  <c r="AP143" i="7"/>
  <c r="AI117" i="7"/>
  <c r="AP252" i="7"/>
  <c r="AP94" i="7"/>
  <c r="AJ107" i="7"/>
  <c r="AJ140" i="7" s="1"/>
  <c r="AP127" i="7"/>
  <c r="AP128" i="7" s="1"/>
  <c r="AP164" i="7"/>
  <c r="AP101" i="7"/>
  <c r="AL657" i="7"/>
  <c r="AL141" i="7" s="1"/>
  <c r="AK754" i="7"/>
  <c r="AK739" i="7" s="1"/>
  <c r="AK106" i="7" s="1"/>
  <c r="AK34" i="7"/>
  <c r="AK509" i="7"/>
  <c r="AK517" i="7"/>
  <c r="AK515" i="7"/>
  <c r="AK512" i="7"/>
  <c r="AK516" i="7"/>
  <c r="AK536" i="7"/>
  <c r="AK540" i="7"/>
  <c r="AK544" i="7"/>
  <c r="AK564" i="7"/>
  <c r="AK568" i="7"/>
  <c r="AK537" i="7"/>
  <c r="AK541" i="7"/>
  <c r="AK561" i="7"/>
  <c r="AK565" i="7"/>
  <c r="AK569" i="7"/>
  <c r="AL765" i="7"/>
  <c r="AL764" i="7"/>
  <c r="AL762" i="7"/>
  <c r="AL761" i="7"/>
  <c r="AL760" i="7"/>
  <c r="AL759" i="7"/>
  <c r="AL758" i="7"/>
  <c r="AL756" i="7"/>
  <c r="AL433" i="7"/>
  <c r="AL431" i="7"/>
  <c r="AL430" i="7"/>
  <c r="AL429" i="7"/>
  <c r="AL428" i="7"/>
  <c r="AL427" i="7"/>
  <c r="AL426" i="7"/>
  <c r="AL425" i="7"/>
  <c r="AL424" i="7"/>
  <c r="AL733" i="7"/>
  <c r="AL732" i="7"/>
  <c r="AL731" i="7"/>
  <c r="AL730" i="7"/>
  <c r="AL729" i="7"/>
  <c r="AL728" i="7"/>
  <c r="AL727" i="7"/>
  <c r="AL725" i="7"/>
  <c r="AL724" i="7"/>
  <c r="AL407" i="7"/>
  <c r="AL406" i="7"/>
  <c r="AL405" i="7"/>
  <c r="AL404" i="7"/>
  <c r="AL403" i="7"/>
  <c r="AL402" i="7"/>
  <c r="AL401" i="7"/>
  <c r="AL400" i="7"/>
  <c r="AL399" i="7"/>
  <c r="AL398" i="7"/>
  <c r="AL701" i="7"/>
  <c r="AL700" i="7"/>
  <c r="AL699" i="7"/>
  <c r="AL698" i="7"/>
  <c r="AL697" i="7"/>
  <c r="AL696" i="7"/>
  <c r="AL695" i="7"/>
  <c r="AL693" i="7"/>
  <c r="AL692" i="7"/>
  <c r="AL382" i="7"/>
  <c r="AL381" i="7"/>
  <c r="AL380" i="7"/>
  <c r="AL379" i="7"/>
  <c r="AL378" i="7"/>
  <c r="AL377" i="7"/>
  <c r="AL376" i="7"/>
  <c r="AL375" i="7"/>
  <c r="AL374" i="7"/>
  <c r="AL373" i="7"/>
  <c r="AL608" i="7"/>
  <c r="AL603" i="7"/>
  <c r="AL504" i="7"/>
  <c r="AL489" i="7"/>
  <c r="AL488" i="7"/>
  <c r="AL487" i="7"/>
  <c r="AL486" i="7"/>
  <c r="AL485" i="7"/>
  <c r="AL484" i="7"/>
  <c r="AL432" i="7"/>
  <c r="AL368" i="7"/>
  <c r="AL353" i="7"/>
  <c r="AL352" i="7"/>
  <c r="AL351" i="7"/>
  <c r="AL350" i="7"/>
  <c r="AL349" i="7"/>
  <c r="AL348" i="7"/>
  <c r="AL32" i="7"/>
  <c r="AK369" i="7"/>
  <c r="AK513" i="7"/>
  <c r="AK511" i="7"/>
  <c r="AK510" i="7"/>
  <c r="AK514" i="7"/>
  <c r="AK518" i="7"/>
  <c r="AK538" i="7"/>
  <c r="AK542" i="7"/>
  <c r="AK562" i="7"/>
  <c r="AK566" i="7"/>
  <c r="AK570" i="7"/>
  <c r="AK535" i="7"/>
  <c r="AK539" i="7"/>
  <c r="AK543" i="7"/>
  <c r="AK563" i="7"/>
  <c r="AK567" i="7"/>
  <c r="AK505" i="7"/>
  <c r="AK690" i="7"/>
  <c r="AK675" i="7" s="1"/>
  <c r="AK104" i="7" s="1"/>
  <c r="AK722" i="7"/>
  <c r="AK707" i="7" s="1"/>
  <c r="AK105" i="7" s="1"/>
  <c r="AJ117" i="7" l="1"/>
  <c r="AK107" i="7"/>
  <c r="AK140" i="7" s="1"/>
  <c r="AM657" i="7"/>
  <c r="AM141" i="7" s="1"/>
  <c r="AL690" i="7"/>
  <c r="AL675" i="7" s="1"/>
  <c r="AL104" i="7" s="1"/>
  <c r="AL754" i="7"/>
  <c r="AL739" i="7" s="1"/>
  <c r="AL106" i="7" s="1"/>
  <c r="AL34" i="7"/>
  <c r="AL722" i="7"/>
  <c r="AL707" i="7" s="1"/>
  <c r="AL105" i="7" s="1"/>
  <c r="AM765" i="7"/>
  <c r="AM764" i="7"/>
  <c r="AM762" i="7"/>
  <c r="AM761" i="7"/>
  <c r="AM760" i="7"/>
  <c r="AM759" i="7"/>
  <c r="AM758" i="7"/>
  <c r="AM756" i="7"/>
  <c r="AM433" i="7"/>
  <c r="AM432" i="7"/>
  <c r="AM431" i="7"/>
  <c r="AM430" i="7"/>
  <c r="AM429" i="7"/>
  <c r="AM428" i="7"/>
  <c r="AM427" i="7"/>
  <c r="AM426" i="7"/>
  <c r="AM424" i="7"/>
  <c r="AM407" i="7"/>
  <c r="AM406" i="7"/>
  <c r="AM405" i="7"/>
  <c r="AM404" i="7"/>
  <c r="AM403" i="7"/>
  <c r="AM402" i="7"/>
  <c r="AM401" i="7"/>
  <c r="AM425" i="7"/>
  <c r="AM733" i="7"/>
  <c r="AM732" i="7"/>
  <c r="AM731" i="7"/>
  <c r="AM730" i="7"/>
  <c r="AM729" i="7"/>
  <c r="AM728" i="7"/>
  <c r="AM727" i="7"/>
  <c r="AM725" i="7"/>
  <c r="AM724" i="7"/>
  <c r="AM382" i="7"/>
  <c r="AM381" i="7"/>
  <c r="AM380" i="7"/>
  <c r="AM379" i="7"/>
  <c r="AM378" i="7"/>
  <c r="AM377" i="7"/>
  <c r="AM400" i="7"/>
  <c r="AM399" i="7"/>
  <c r="AM398" i="7"/>
  <c r="AM701" i="7"/>
  <c r="AM700" i="7"/>
  <c r="AM699" i="7"/>
  <c r="AM698" i="7"/>
  <c r="AM697" i="7"/>
  <c r="AM696" i="7"/>
  <c r="AM693" i="7"/>
  <c r="AM692" i="7"/>
  <c r="AM375" i="7"/>
  <c r="AM376" i="7"/>
  <c r="AM374" i="7"/>
  <c r="AM373" i="7"/>
  <c r="AM608" i="7"/>
  <c r="AM603" i="7"/>
  <c r="AM489" i="7"/>
  <c r="AM488" i="7"/>
  <c r="AM487" i="7"/>
  <c r="AM486" i="7"/>
  <c r="AM485" i="7"/>
  <c r="AM484" i="7"/>
  <c r="AM504" i="7"/>
  <c r="AM368" i="7"/>
  <c r="AM353" i="7"/>
  <c r="AM352" i="7"/>
  <c r="AM351" i="7"/>
  <c r="AM350" i="7"/>
  <c r="AM349" i="7"/>
  <c r="AM348" i="7"/>
  <c r="AM32" i="7"/>
  <c r="AL516" i="7"/>
  <c r="AL514" i="7"/>
  <c r="AL511" i="7"/>
  <c r="AL515" i="7"/>
  <c r="AL535" i="7"/>
  <c r="AL539" i="7"/>
  <c r="AL543" i="7"/>
  <c r="AL563" i="7"/>
  <c r="AL567" i="7"/>
  <c r="AL505" i="7"/>
  <c r="AL536" i="7"/>
  <c r="AL540" i="7"/>
  <c r="AL544" i="7"/>
  <c r="AL564" i="7"/>
  <c r="AL568" i="7"/>
  <c r="AL512" i="7"/>
  <c r="AL369" i="7"/>
  <c r="AL510" i="7"/>
  <c r="AL518" i="7"/>
  <c r="AL509" i="7"/>
  <c r="AL513" i="7"/>
  <c r="AL517" i="7"/>
  <c r="AL537" i="7"/>
  <c r="AL541" i="7"/>
  <c r="AL561" i="7"/>
  <c r="AL565" i="7"/>
  <c r="AL569" i="7"/>
  <c r="AL538" i="7"/>
  <c r="AL542" i="7"/>
  <c r="AL562" i="7"/>
  <c r="AL566" i="7"/>
  <c r="AL570" i="7"/>
  <c r="AK117" i="7" l="1"/>
  <c r="AL107" i="7"/>
  <c r="AL140" i="7" s="1"/>
  <c r="AN657" i="7"/>
  <c r="AN141" i="7" s="1"/>
  <c r="AM34" i="7"/>
  <c r="AM690" i="7"/>
  <c r="AM675" i="7" s="1"/>
  <c r="AM104" i="7" s="1"/>
  <c r="AM722" i="7"/>
  <c r="AM707" i="7" s="1"/>
  <c r="AM105" i="7" s="1"/>
  <c r="AM515" i="7"/>
  <c r="AM509" i="7"/>
  <c r="AM517" i="7"/>
  <c r="AM512" i="7"/>
  <c r="AM516" i="7"/>
  <c r="AM536" i="7"/>
  <c r="AM540" i="7"/>
  <c r="AM544" i="7"/>
  <c r="AM564" i="7"/>
  <c r="AM568" i="7"/>
  <c r="AM537" i="7"/>
  <c r="AM541" i="7"/>
  <c r="AM561" i="7"/>
  <c r="AM565" i="7"/>
  <c r="AM569" i="7"/>
  <c r="AM754" i="7"/>
  <c r="AM739" i="7" s="1"/>
  <c r="AM106" i="7" s="1"/>
  <c r="AN765" i="7"/>
  <c r="AN764" i="7"/>
  <c r="AN762" i="7"/>
  <c r="AN761" i="7"/>
  <c r="AN760" i="7"/>
  <c r="AN759" i="7"/>
  <c r="AN758" i="7"/>
  <c r="AN756" i="7"/>
  <c r="AN433" i="7"/>
  <c r="AN432" i="7"/>
  <c r="AN431" i="7"/>
  <c r="AN430" i="7"/>
  <c r="AN429" i="7"/>
  <c r="AN428" i="7"/>
  <c r="AN427" i="7"/>
  <c r="AN426" i="7"/>
  <c r="AN425" i="7"/>
  <c r="AN424" i="7"/>
  <c r="AN733" i="7"/>
  <c r="AN732" i="7"/>
  <c r="AN731" i="7"/>
  <c r="AN730" i="7"/>
  <c r="AN729" i="7"/>
  <c r="AN728" i="7"/>
  <c r="AN727" i="7"/>
  <c r="AN725" i="7"/>
  <c r="AN724" i="7"/>
  <c r="AN406" i="7"/>
  <c r="AN405" i="7"/>
  <c r="AN404" i="7"/>
  <c r="AN403" i="7"/>
  <c r="AN402" i="7"/>
  <c r="AN401" i="7"/>
  <c r="AN400" i="7"/>
  <c r="AN399" i="7"/>
  <c r="AN398" i="7"/>
  <c r="AN701" i="7"/>
  <c r="AN700" i="7"/>
  <c r="AN699" i="7"/>
  <c r="AN698" i="7"/>
  <c r="AN697" i="7"/>
  <c r="AN696" i="7"/>
  <c r="AN693" i="7"/>
  <c r="AN692" i="7"/>
  <c r="AN382" i="7"/>
  <c r="AN381" i="7"/>
  <c r="AN380" i="7"/>
  <c r="AN379" i="7"/>
  <c r="AN378" i="7"/>
  <c r="AN377" i="7"/>
  <c r="AN376" i="7"/>
  <c r="AN375" i="7"/>
  <c r="AN374" i="7"/>
  <c r="AN373" i="7"/>
  <c r="AN608" i="7"/>
  <c r="AN603" i="7"/>
  <c r="AN504" i="7"/>
  <c r="AN407" i="7"/>
  <c r="AN489" i="7"/>
  <c r="AN488" i="7"/>
  <c r="AN487" i="7"/>
  <c r="AN486" i="7"/>
  <c r="AN485" i="7"/>
  <c r="AN484" i="7"/>
  <c r="AN368" i="7"/>
  <c r="AN353" i="7"/>
  <c r="AN352" i="7"/>
  <c r="AN351" i="7"/>
  <c r="AN350" i="7"/>
  <c r="AN349" i="7"/>
  <c r="AN348" i="7"/>
  <c r="AN32" i="7"/>
  <c r="AM369" i="7"/>
  <c r="AM511" i="7"/>
  <c r="AM513" i="7"/>
  <c r="AM510" i="7"/>
  <c r="AM514" i="7"/>
  <c r="AM518" i="7"/>
  <c r="AM538" i="7"/>
  <c r="AM542" i="7"/>
  <c r="AM562" i="7"/>
  <c r="AM566" i="7"/>
  <c r="AM570" i="7"/>
  <c r="AM535" i="7"/>
  <c r="AM539" i="7"/>
  <c r="AM543" i="7"/>
  <c r="AM563" i="7"/>
  <c r="AM567" i="7"/>
  <c r="AM505" i="7"/>
  <c r="AL117" i="7" l="1"/>
  <c r="AM107" i="7"/>
  <c r="AM140" i="7" s="1"/>
  <c r="AO657" i="7"/>
  <c r="AO141" i="7" s="1"/>
  <c r="AN514" i="7"/>
  <c r="AN369" i="7"/>
  <c r="AN512" i="7"/>
  <c r="AN511" i="7"/>
  <c r="AN515" i="7"/>
  <c r="AN535" i="7"/>
  <c r="AN539" i="7"/>
  <c r="AN543" i="7"/>
  <c r="AN563" i="7"/>
  <c r="AN567" i="7"/>
  <c r="AN505" i="7"/>
  <c r="AN536" i="7"/>
  <c r="AN540" i="7"/>
  <c r="AN544" i="7"/>
  <c r="AN564" i="7"/>
  <c r="AN568" i="7"/>
  <c r="AO765" i="7"/>
  <c r="AO764" i="7"/>
  <c r="AO762" i="7"/>
  <c r="AO761" i="7"/>
  <c r="AO760" i="7"/>
  <c r="AO759" i="7"/>
  <c r="AO758" i="7"/>
  <c r="AO433" i="7"/>
  <c r="AO431" i="7"/>
  <c r="AO430" i="7"/>
  <c r="AO429" i="7"/>
  <c r="AO428" i="7"/>
  <c r="AO427" i="7"/>
  <c r="AO426" i="7"/>
  <c r="AO756" i="7"/>
  <c r="AO425" i="7"/>
  <c r="AO407" i="7"/>
  <c r="AO406" i="7"/>
  <c r="AO405" i="7"/>
  <c r="AO404" i="7"/>
  <c r="AO403" i="7"/>
  <c r="AO402" i="7"/>
  <c r="AO401" i="7"/>
  <c r="AO424" i="7"/>
  <c r="AO733" i="7"/>
  <c r="AO732" i="7"/>
  <c r="AO731" i="7"/>
  <c r="AO730" i="7"/>
  <c r="AO729" i="7"/>
  <c r="AO728" i="7"/>
  <c r="AO727" i="7"/>
  <c r="AO725" i="7"/>
  <c r="AO724" i="7"/>
  <c r="AO400" i="7"/>
  <c r="AO382" i="7"/>
  <c r="AO381" i="7"/>
  <c r="AO380" i="7"/>
  <c r="AO379" i="7"/>
  <c r="AO378" i="7"/>
  <c r="AO377" i="7"/>
  <c r="AO399" i="7"/>
  <c r="AO398" i="7"/>
  <c r="AO701" i="7"/>
  <c r="AO700" i="7"/>
  <c r="AO699" i="7"/>
  <c r="AO698" i="7"/>
  <c r="AO697" i="7"/>
  <c r="AO696" i="7"/>
  <c r="AO693" i="7"/>
  <c r="AO692" i="7"/>
  <c r="AO376" i="7"/>
  <c r="AO375" i="7"/>
  <c r="AO374" i="7"/>
  <c r="AO373" i="7"/>
  <c r="AO608" i="7"/>
  <c r="AO603" i="7"/>
  <c r="AO489" i="7"/>
  <c r="AO488" i="7"/>
  <c r="AO487" i="7"/>
  <c r="AO486" i="7"/>
  <c r="AO485" i="7"/>
  <c r="AO484" i="7"/>
  <c r="AO432" i="7"/>
  <c r="AO504" i="7"/>
  <c r="AO368" i="7"/>
  <c r="AO353" i="7"/>
  <c r="AO352" i="7"/>
  <c r="AO351" i="7"/>
  <c r="AO350" i="7"/>
  <c r="AO349" i="7"/>
  <c r="AO348" i="7"/>
  <c r="AO32" i="7"/>
  <c r="AN510" i="7"/>
  <c r="AN518" i="7"/>
  <c r="AN516" i="7"/>
  <c r="AN509" i="7"/>
  <c r="AN513" i="7"/>
  <c r="AN517" i="7"/>
  <c r="AN537" i="7"/>
  <c r="AN541" i="7"/>
  <c r="AN561" i="7"/>
  <c r="AN565" i="7"/>
  <c r="AN569" i="7"/>
  <c r="AN538" i="7"/>
  <c r="AN542" i="7"/>
  <c r="AN562" i="7"/>
  <c r="AN566" i="7"/>
  <c r="AN570" i="7"/>
  <c r="AN34" i="7"/>
  <c r="AN690" i="7"/>
  <c r="AN675" i="7" s="1"/>
  <c r="AN104" i="7" s="1"/>
  <c r="AN722" i="7"/>
  <c r="AN707" i="7" s="1"/>
  <c r="AN105" i="7" s="1"/>
  <c r="AN754" i="7"/>
  <c r="AN739" i="7" s="1"/>
  <c r="AN106" i="7" s="1"/>
  <c r="AM117" i="7" l="1"/>
  <c r="AN107" i="7"/>
  <c r="AN140" i="7" s="1"/>
  <c r="AO34" i="7"/>
  <c r="AO690" i="7"/>
  <c r="AO675" i="7" s="1"/>
  <c r="AO104" i="7" s="1"/>
  <c r="AO722" i="7"/>
  <c r="AO707" i="7" s="1"/>
  <c r="AO105" i="7" s="1"/>
  <c r="AO509" i="7"/>
  <c r="AO517" i="7"/>
  <c r="AO515" i="7"/>
  <c r="AO512" i="7"/>
  <c r="AO516" i="7"/>
  <c r="AO536" i="7"/>
  <c r="AO540" i="7"/>
  <c r="AO544" i="7"/>
  <c r="AO564" i="7"/>
  <c r="AO568" i="7"/>
  <c r="AO537" i="7"/>
  <c r="AO541" i="7"/>
  <c r="AO561" i="7"/>
  <c r="AO565" i="7"/>
  <c r="AO569" i="7"/>
  <c r="AO754" i="7"/>
  <c r="AO739" i="7" s="1"/>
  <c r="AO106" i="7" s="1"/>
  <c r="AP765" i="7"/>
  <c r="AP764" i="7"/>
  <c r="AP762" i="7"/>
  <c r="AP761" i="7"/>
  <c r="AP760" i="7"/>
  <c r="AP759" i="7"/>
  <c r="AP758" i="7"/>
  <c r="AP756" i="7"/>
  <c r="B753" i="7"/>
  <c r="B752" i="7"/>
  <c r="B751" i="7"/>
  <c r="B750" i="7"/>
  <c r="B749" i="7"/>
  <c r="B748" i="7"/>
  <c r="B747" i="7"/>
  <c r="B746" i="7"/>
  <c r="B745" i="7"/>
  <c r="AP424" i="7"/>
  <c r="AP733" i="7"/>
  <c r="B733" i="7" s="1"/>
  <c r="AP732" i="7"/>
  <c r="B732" i="7" s="1"/>
  <c r="AP731" i="7"/>
  <c r="B731" i="7" s="1"/>
  <c r="AP730" i="7"/>
  <c r="B730" i="7" s="1"/>
  <c r="AP729" i="7"/>
  <c r="B729" i="7" s="1"/>
  <c r="AP728" i="7"/>
  <c r="B728" i="7" s="1"/>
  <c r="AP727" i="7"/>
  <c r="B727" i="7" s="1"/>
  <c r="AP725" i="7"/>
  <c r="AP724" i="7"/>
  <c r="B721" i="7"/>
  <c r="B720" i="7"/>
  <c r="B719" i="7"/>
  <c r="B718" i="7"/>
  <c r="B717" i="7"/>
  <c r="B716" i="7"/>
  <c r="B715" i="7"/>
  <c r="B714" i="7"/>
  <c r="B713" i="7"/>
  <c r="AP398" i="7"/>
  <c r="AP701" i="7"/>
  <c r="B701" i="7" s="1"/>
  <c r="AP700" i="7"/>
  <c r="B700" i="7" s="1"/>
  <c r="AP699" i="7"/>
  <c r="B699" i="7" s="1"/>
  <c r="AP698" i="7"/>
  <c r="B698" i="7" s="1"/>
  <c r="AP697" i="7"/>
  <c r="B697" i="7" s="1"/>
  <c r="AP696" i="7"/>
  <c r="B696" i="7" s="1"/>
  <c r="AP693" i="7"/>
  <c r="AP692" i="7"/>
  <c r="B689" i="7"/>
  <c r="B688" i="7"/>
  <c r="B687" i="7"/>
  <c r="B686" i="7"/>
  <c r="B685" i="7"/>
  <c r="B684" i="7"/>
  <c r="B683" i="7"/>
  <c r="B682" i="7"/>
  <c r="B681" i="7"/>
  <c r="AP373" i="7"/>
  <c r="AP608" i="7"/>
  <c r="AP603" i="7"/>
  <c r="AP504" i="7"/>
  <c r="AP407" i="7"/>
  <c r="AP489" i="7"/>
  <c r="AP488" i="7"/>
  <c r="AP487" i="7"/>
  <c r="AP486" i="7"/>
  <c r="AP485" i="7"/>
  <c r="AP484" i="7"/>
  <c r="AP368" i="7"/>
  <c r="AP353" i="7"/>
  <c r="AP352" i="7"/>
  <c r="AP351" i="7"/>
  <c r="AP350" i="7"/>
  <c r="AP349" i="7"/>
  <c r="AP348" i="7"/>
  <c r="AP32" i="7"/>
  <c r="AO369" i="7"/>
  <c r="AO513" i="7"/>
  <c r="AO511" i="7"/>
  <c r="AO510" i="7"/>
  <c r="AO514" i="7"/>
  <c r="AO518" i="7"/>
  <c r="AO538" i="7"/>
  <c r="AO542" i="7"/>
  <c r="AO562" i="7"/>
  <c r="AO566" i="7"/>
  <c r="AO570" i="7"/>
  <c r="AO535" i="7"/>
  <c r="AO539" i="7"/>
  <c r="AO543" i="7"/>
  <c r="AO563" i="7"/>
  <c r="AO567" i="7"/>
  <c r="AO505" i="7"/>
  <c r="AA693" i="7" l="1"/>
  <c r="AB693" i="7"/>
  <c r="AC693" i="7"/>
  <c r="AD693" i="7"/>
  <c r="AE693" i="7"/>
  <c r="AF693" i="7"/>
  <c r="AM694" i="7"/>
  <c r="AN694" i="7"/>
  <c r="AO694" i="7"/>
  <c r="AP694" i="7"/>
  <c r="AN117" i="7"/>
  <c r="AO107" i="7"/>
  <c r="AO140" i="7" s="1"/>
  <c r="AO525" i="7"/>
  <c r="AO582" i="7"/>
  <c r="AN524" i="7"/>
  <c r="AO575" i="7"/>
  <c r="AO579" i="7"/>
  <c r="AO554" i="7"/>
  <c r="AO551" i="7"/>
  <c r="AO555" i="7"/>
  <c r="AO578" i="7"/>
  <c r="AO385" i="7"/>
  <c r="AN530" i="7"/>
  <c r="AO412" i="7"/>
  <c r="AN576" i="7"/>
  <c r="AN523" i="7"/>
  <c r="AO440" i="7"/>
  <c r="AN528" i="7"/>
  <c r="AN551" i="7"/>
  <c r="AN555" i="7"/>
  <c r="AN578" i="7"/>
  <c r="AP419" i="7"/>
  <c r="AN525" i="7"/>
  <c r="AN548" i="7"/>
  <c r="AN556" i="7"/>
  <c r="AO438" i="7"/>
  <c r="AO442" i="7"/>
  <c r="AO574" i="7"/>
  <c r="AO522" i="7"/>
  <c r="AO530" i="7"/>
  <c r="AO523" i="7"/>
  <c r="AO550" i="7"/>
  <c r="AO576" i="7"/>
  <c r="AN549" i="7"/>
  <c r="AO526" i="7"/>
  <c r="AO411" i="7"/>
  <c r="E389" i="7"/>
  <c r="D389" i="7"/>
  <c r="H389" i="7"/>
  <c r="G389" i="7"/>
  <c r="F389" i="7"/>
  <c r="C389" i="7"/>
  <c r="I389" i="7"/>
  <c r="J389" i="7"/>
  <c r="C526" i="7"/>
  <c r="E526" i="7"/>
  <c r="D526" i="7"/>
  <c r="G526" i="7"/>
  <c r="H526" i="7"/>
  <c r="F526" i="7"/>
  <c r="I526" i="7"/>
  <c r="K389" i="7"/>
  <c r="J526" i="7"/>
  <c r="K526" i="7"/>
  <c r="L389" i="7"/>
  <c r="L526" i="7"/>
  <c r="M389" i="7"/>
  <c r="M526" i="7"/>
  <c r="N389" i="7"/>
  <c r="O389" i="7"/>
  <c r="N526" i="7"/>
  <c r="P389" i="7"/>
  <c r="O526" i="7"/>
  <c r="Q389" i="7"/>
  <c r="P526" i="7"/>
  <c r="R389" i="7"/>
  <c r="Q526" i="7"/>
  <c r="S389" i="7"/>
  <c r="R526" i="7"/>
  <c r="T389" i="7"/>
  <c r="S526" i="7"/>
  <c r="T526" i="7"/>
  <c r="U389" i="7"/>
  <c r="U526" i="7"/>
  <c r="V389" i="7"/>
  <c r="V526" i="7"/>
  <c r="W389" i="7"/>
  <c r="X389" i="7"/>
  <c r="W526" i="7"/>
  <c r="Y389" i="7"/>
  <c r="X526" i="7"/>
  <c r="Y526" i="7"/>
  <c r="Z389" i="7"/>
  <c r="Z526" i="7"/>
  <c r="AA389" i="7"/>
  <c r="AB389" i="7"/>
  <c r="AA526" i="7"/>
  <c r="AC389" i="7"/>
  <c r="AB526" i="7"/>
  <c r="AC526" i="7"/>
  <c r="AD389" i="7"/>
  <c r="AD526" i="7"/>
  <c r="AE389" i="7"/>
  <c r="AF389" i="7"/>
  <c r="AE526" i="7"/>
  <c r="AF526" i="7"/>
  <c r="AG389" i="7"/>
  <c r="AG526" i="7"/>
  <c r="AH389" i="7"/>
  <c r="AH526" i="7"/>
  <c r="AI389" i="7"/>
  <c r="AI526" i="7"/>
  <c r="AJ389" i="7"/>
  <c r="AJ526" i="7"/>
  <c r="AK389" i="7"/>
  <c r="AK526" i="7"/>
  <c r="AL389" i="7"/>
  <c r="AL526" i="7"/>
  <c r="AM389" i="7"/>
  <c r="AN389" i="7"/>
  <c r="AM526" i="7"/>
  <c r="C412" i="7"/>
  <c r="F412" i="7"/>
  <c r="D412" i="7"/>
  <c r="C549" i="7"/>
  <c r="E412" i="7"/>
  <c r="D549" i="7"/>
  <c r="G412" i="7"/>
  <c r="E549" i="7"/>
  <c r="F549" i="7"/>
  <c r="G549" i="7"/>
  <c r="H412" i="7"/>
  <c r="I412" i="7"/>
  <c r="H549" i="7"/>
  <c r="I549" i="7"/>
  <c r="J412" i="7"/>
  <c r="J549" i="7"/>
  <c r="K412" i="7"/>
  <c r="L412" i="7"/>
  <c r="K549" i="7"/>
  <c r="M412" i="7"/>
  <c r="L549" i="7"/>
  <c r="M549" i="7"/>
  <c r="N412" i="7"/>
  <c r="N549" i="7"/>
  <c r="O412" i="7"/>
  <c r="P412" i="7"/>
  <c r="O549" i="7"/>
  <c r="P549" i="7"/>
  <c r="Q412" i="7"/>
  <c r="R412" i="7"/>
  <c r="Q549" i="7"/>
  <c r="R549" i="7"/>
  <c r="S412" i="7"/>
  <c r="T412" i="7"/>
  <c r="S549" i="7"/>
  <c r="U412" i="7"/>
  <c r="T549" i="7"/>
  <c r="V412" i="7"/>
  <c r="U549" i="7"/>
  <c r="V549" i="7"/>
  <c r="W412" i="7"/>
  <c r="W549" i="7"/>
  <c r="X412" i="7"/>
  <c r="Y412" i="7"/>
  <c r="X549" i="7"/>
  <c r="Y549" i="7"/>
  <c r="Z412" i="7"/>
  <c r="Z549" i="7"/>
  <c r="AA412" i="7"/>
  <c r="AA549" i="7"/>
  <c r="AB412" i="7"/>
  <c r="AB549" i="7"/>
  <c r="AC412" i="7"/>
  <c r="AC549" i="7"/>
  <c r="AD412" i="7"/>
  <c r="AD549" i="7"/>
  <c r="AE412" i="7"/>
  <c r="AF412" i="7"/>
  <c r="AE549" i="7"/>
  <c r="AG412" i="7"/>
  <c r="AF549" i="7"/>
  <c r="AG549" i="7"/>
  <c r="AH412" i="7"/>
  <c r="AI412" i="7"/>
  <c r="AH549" i="7"/>
  <c r="AI549" i="7"/>
  <c r="AJ412" i="7"/>
  <c r="AK412" i="7"/>
  <c r="AJ549" i="7"/>
  <c r="AK549" i="7"/>
  <c r="AL412" i="7"/>
  <c r="AL549" i="7"/>
  <c r="AM412" i="7"/>
  <c r="AN412" i="7"/>
  <c r="AM549" i="7"/>
  <c r="H443" i="7"/>
  <c r="D443" i="7"/>
  <c r="E443" i="7"/>
  <c r="G443" i="7"/>
  <c r="F443" i="7"/>
  <c r="C443" i="7"/>
  <c r="I443" i="7"/>
  <c r="J443" i="7"/>
  <c r="K443" i="7"/>
  <c r="J580" i="7"/>
  <c r="L443" i="7"/>
  <c r="I580" i="7"/>
  <c r="H580" i="7"/>
  <c r="C580" i="7"/>
  <c r="E580" i="7"/>
  <c r="G580" i="7"/>
  <c r="K580" i="7"/>
  <c r="F580" i="7"/>
  <c r="D580" i="7"/>
  <c r="L580" i="7"/>
  <c r="M443" i="7"/>
  <c r="M580" i="7"/>
  <c r="N443" i="7"/>
  <c r="N580" i="7"/>
  <c r="O443" i="7"/>
  <c r="P443" i="7"/>
  <c r="O580" i="7"/>
  <c r="P580" i="7"/>
  <c r="Q443" i="7"/>
  <c r="R443" i="7"/>
  <c r="Q580" i="7"/>
  <c r="R580" i="7"/>
  <c r="S443" i="7"/>
  <c r="T443" i="7"/>
  <c r="S580" i="7"/>
  <c r="U443" i="7"/>
  <c r="T580" i="7"/>
  <c r="V443" i="7"/>
  <c r="U580" i="7"/>
  <c r="V580" i="7"/>
  <c r="W443" i="7"/>
  <c r="W580" i="7"/>
  <c r="X443" i="7"/>
  <c r="X580" i="7"/>
  <c r="Y443" i="7"/>
  <c r="Y580" i="7"/>
  <c r="Z443" i="7"/>
  <c r="Z580" i="7"/>
  <c r="AA443" i="7"/>
  <c r="AB443" i="7"/>
  <c r="AA580" i="7"/>
  <c r="AC443" i="7"/>
  <c r="AB580" i="7"/>
  <c r="AC580" i="7"/>
  <c r="AD443" i="7"/>
  <c r="AE443" i="7"/>
  <c r="AD580" i="7"/>
  <c r="AF443" i="7"/>
  <c r="AE580" i="7"/>
  <c r="AG443" i="7"/>
  <c r="AF580" i="7"/>
  <c r="AH443" i="7"/>
  <c r="AG580" i="7"/>
  <c r="AI443" i="7"/>
  <c r="AH580" i="7"/>
  <c r="AI580" i="7"/>
  <c r="AJ443" i="7"/>
  <c r="AK443" i="7"/>
  <c r="AJ580" i="7"/>
  <c r="AL443" i="7"/>
  <c r="AK580" i="7"/>
  <c r="AL580" i="7"/>
  <c r="AM443" i="7"/>
  <c r="AN443" i="7"/>
  <c r="AM580" i="7"/>
  <c r="AO553" i="7"/>
  <c r="AO524" i="7"/>
  <c r="AN575" i="7"/>
  <c r="AN579" i="7"/>
  <c r="AO393" i="7"/>
  <c r="AO386" i="7"/>
  <c r="G390" i="7"/>
  <c r="F390" i="7"/>
  <c r="H390" i="7"/>
  <c r="D390" i="7"/>
  <c r="C390" i="7"/>
  <c r="I390" i="7"/>
  <c r="E390" i="7"/>
  <c r="J390" i="7"/>
  <c r="C527" i="7"/>
  <c r="K390" i="7"/>
  <c r="J527" i="7"/>
  <c r="I527" i="7"/>
  <c r="D527" i="7"/>
  <c r="F527" i="7"/>
  <c r="E527" i="7"/>
  <c r="G527" i="7"/>
  <c r="H527" i="7"/>
  <c r="L390" i="7"/>
  <c r="K527" i="7"/>
  <c r="M390" i="7"/>
  <c r="L527" i="7"/>
  <c r="N390" i="7"/>
  <c r="M527" i="7"/>
  <c r="O390" i="7"/>
  <c r="N527" i="7"/>
  <c r="P390" i="7"/>
  <c r="O527" i="7"/>
  <c r="P527" i="7"/>
  <c r="Q390" i="7"/>
  <c r="R390" i="7"/>
  <c r="Q527" i="7"/>
  <c r="S390" i="7"/>
  <c r="R527" i="7"/>
  <c r="T390" i="7"/>
  <c r="S527" i="7"/>
  <c r="T527" i="7"/>
  <c r="U390" i="7"/>
  <c r="V390" i="7"/>
  <c r="U527" i="7"/>
  <c r="V527" i="7"/>
  <c r="W390" i="7"/>
  <c r="X390" i="7"/>
  <c r="W527" i="7"/>
  <c r="Y390" i="7"/>
  <c r="X527" i="7"/>
  <c r="Z390" i="7"/>
  <c r="Y527" i="7"/>
  <c r="AA390" i="7"/>
  <c r="Z527" i="7"/>
  <c r="AB390" i="7"/>
  <c r="AA527" i="7"/>
  <c r="AC390" i="7"/>
  <c r="AB527" i="7"/>
  <c r="AD390" i="7"/>
  <c r="AC527" i="7"/>
  <c r="AE390" i="7"/>
  <c r="AD527" i="7"/>
  <c r="AF390" i="7"/>
  <c r="AE527" i="7"/>
  <c r="AG390" i="7"/>
  <c r="AF527" i="7"/>
  <c r="AH390" i="7"/>
  <c r="AG527" i="7"/>
  <c r="AI390" i="7"/>
  <c r="AH527" i="7"/>
  <c r="AI527" i="7"/>
  <c r="AJ390" i="7"/>
  <c r="AJ527" i="7"/>
  <c r="AK390" i="7"/>
  <c r="AK527" i="7"/>
  <c r="AL390" i="7"/>
  <c r="AM390" i="7"/>
  <c r="AL527" i="7"/>
  <c r="AM527" i="7"/>
  <c r="AN390" i="7"/>
  <c r="D413" i="7"/>
  <c r="F413" i="7"/>
  <c r="G413" i="7"/>
  <c r="E413" i="7"/>
  <c r="C413" i="7"/>
  <c r="G550" i="7"/>
  <c r="C550" i="7"/>
  <c r="H413" i="7"/>
  <c r="E550" i="7"/>
  <c r="F550" i="7"/>
  <c r="D550" i="7"/>
  <c r="I413" i="7"/>
  <c r="H550" i="7"/>
  <c r="I550" i="7"/>
  <c r="J413" i="7"/>
  <c r="J550" i="7"/>
  <c r="K413" i="7"/>
  <c r="L413" i="7"/>
  <c r="K550" i="7"/>
  <c r="L550" i="7"/>
  <c r="M413" i="7"/>
  <c r="M550" i="7"/>
  <c r="N413" i="7"/>
  <c r="N550" i="7"/>
  <c r="O413" i="7"/>
  <c r="P413" i="7"/>
  <c r="O550" i="7"/>
  <c r="Q413" i="7"/>
  <c r="P550" i="7"/>
  <c r="R413" i="7"/>
  <c r="Q550" i="7"/>
  <c r="R550" i="7"/>
  <c r="S413" i="7"/>
  <c r="T413" i="7"/>
  <c r="S550" i="7"/>
  <c r="U413" i="7"/>
  <c r="T550" i="7"/>
  <c r="V413" i="7"/>
  <c r="U550" i="7"/>
  <c r="V550" i="7"/>
  <c r="W413" i="7"/>
  <c r="X413" i="7"/>
  <c r="W550" i="7"/>
  <c r="Y413" i="7"/>
  <c r="X550" i="7"/>
  <c r="Z413" i="7"/>
  <c r="Y550" i="7"/>
  <c r="Z550" i="7"/>
  <c r="AA413" i="7"/>
  <c r="AA550" i="7"/>
  <c r="AB413" i="7"/>
  <c r="AC413" i="7"/>
  <c r="AB550" i="7"/>
  <c r="AD413" i="7"/>
  <c r="AC550" i="7"/>
  <c r="AE413" i="7"/>
  <c r="AD550" i="7"/>
  <c r="AF413" i="7"/>
  <c r="AE550" i="7"/>
  <c r="AF550" i="7"/>
  <c r="AG413" i="7"/>
  <c r="AG550" i="7"/>
  <c r="AH413" i="7"/>
  <c r="AH550" i="7"/>
  <c r="AI413" i="7"/>
  <c r="AJ413" i="7"/>
  <c r="AI550" i="7"/>
  <c r="AK413" i="7"/>
  <c r="AJ550" i="7"/>
  <c r="AK550" i="7"/>
  <c r="AL413" i="7"/>
  <c r="AL550" i="7"/>
  <c r="AM413" i="7"/>
  <c r="AM550" i="7"/>
  <c r="AN413" i="7"/>
  <c r="E444" i="7"/>
  <c r="D444" i="7"/>
  <c r="F444" i="7"/>
  <c r="L444" i="7"/>
  <c r="C444" i="7"/>
  <c r="K444" i="7"/>
  <c r="J444" i="7"/>
  <c r="I444" i="7"/>
  <c r="H444" i="7"/>
  <c r="G444" i="7"/>
  <c r="L581" i="7"/>
  <c r="M444" i="7"/>
  <c r="G581" i="7"/>
  <c r="C581" i="7"/>
  <c r="H581" i="7"/>
  <c r="F581" i="7"/>
  <c r="E581" i="7"/>
  <c r="I581" i="7"/>
  <c r="D581" i="7"/>
  <c r="J581" i="7"/>
  <c r="K581" i="7"/>
  <c r="M581" i="7"/>
  <c r="N444" i="7"/>
  <c r="O444" i="7"/>
  <c r="N581" i="7"/>
  <c r="O581" i="7"/>
  <c r="P444" i="7"/>
  <c r="Q444" i="7"/>
  <c r="P581" i="7"/>
  <c r="Q581" i="7"/>
  <c r="R444" i="7"/>
  <c r="R581" i="7"/>
  <c r="S444" i="7"/>
  <c r="S581" i="7"/>
  <c r="T444" i="7"/>
  <c r="U444" i="7"/>
  <c r="T581" i="7"/>
  <c r="U581" i="7"/>
  <c r="V444" i="7"/>
  <c r="W444" i="7"/>
  <c r="V581" i="7"/>
  <c r="W581" i="7"/>
  <c r="X444" i="7"/>
  <c r="X581" i="7"/>
  <c r="Y444" i="7"/>
  <c r="Y581" i="7"/>
  <c r="Z444" i="7"/>
  <c r="AA444" i="7"/>
  <c r="Z581" i="7"/>
  <c r="AA581" i="7"/>
  <c r="AB444" i="7"/>
  <c r="AC444" i="7"/>
  <c r="AB581" i="7"/>
  <c r="AD444" i="7"/>
  <c r="AC581" i="7"/>
  <c r="AE444" i="7"/>
  <c r="AD581" i="7"/>
  <c r="AE581" i="7"/>
  <c r="AF444" i="7"/>
  <c r="AF581" i="7"/>
  <c r="AG444" i="7"/>
  <c r="AG581" i="7"/>
  <c r="AH444" i="7"/>
  <c r="AH581" i="7"/>
  <c r="AI444" i="7"/>
  <c r="AJ444" i="7"/>
  <c r="AI581" i="7"/>
  <c r="AK444" i="7"/>
  <c r="AJ581" i="7"/>
  <c r="AK581" i="7"/>
  <c r="AL444" i="7"/>
  <c r="AM444" i="7"/>
  <c r="AL581" i="7"/>
  <c r="AM581" i="7"/>
  <c r="AN444" i="7"/>
  <c r="AO549" i="7"/>
  <c r="AO527" i="7"/>
  <c r="AO388" i="7"/>
  <c r="AO443" i="7"/>
  <c r="AN581" i="7"/>
  <c r="AN550" i="7"/>
  <c r="H391" i="7"/>
  <c r="G391" i="7"/>
  <c r="K391" i="7"/>
  <c r="F391" i="7"/>
  <c r="I391" i="7"/>
  <c r="J391" i="7"/>
  <c r="C391" i="7"/>
  <c r="D391" i="7"/>
  <c r="E391" i="7"/>
  <c r="G528" i="7"/>
  <c r="H528" i="7"/>
  <c r="D528" i="7"/>
  <c r="C528" i="7"/>
  <c r="I528" i="7"/>
  <c r="F528" i="7"/>
  <c r="L391" i="7"/>
  <c r="K528" i="7"/>
  <c r="J528" i="7"/>
  <c r="E528" i="7"/>
  <c r="L528" i="7"/>
  <c r="M391" i="7"/>
  <c r="M528" i="7"/>
  <c r="N391" i="7"/>
  <c r="N528" i="7"/>
  <c r="O391" i="7"/>
  <c r="O528" i="7"/>
  <c r="P391" i="7"/>
  <c r="P528" i="7"/>
  <c r="Q391" i="7"/>
  <c r="Q528" i="7"/>
  <c r="R391" i="7"/>
  <c r="R528" i="7"/>
  <c r="S391" i="7"/>
  <c r="S528" i="7"/>
  <c r="T391" i="7"/>
  <c r="U391" i="7"/>
  <c r="T528" i="7"/>
  <c r="V391" i="7"/>
  <c r="U528" i="7"/>
  <c r="V528" i="7"/>
  <c r="W391" i="7"/>
  <c r="X391" i="7"/>
  <c r="W528" i="7"/>
  <c r="X528" i="7"/>
  <c r="Y391" i="7"/>
  <c r="Y528" i="7"/>
  <c r="Z391" i="7"/>
  <c r="Z528" i="7"/>
  <c r="AA391" i="7"/>
  <c r="AB391" i="7"/>
  <c r="AA528" i="7"/>
  <c r="AB528" i="7"/>
  <c r="AC391" i="7"/>
  <c r="AC528" i="7"/>
  <c r="AD391" i="7"/>
  <c r="AE391" i="7"/>
  <c r="AD528" i="7"/>
  <c r="AF391" i="7"/>
  <c r="AE528" i="7"/>
  <c r="AG391" i="7"/>
  <c r="AF528" i="7"/>
  <c r="AH391" i="7"/>
  <c r="AG528" i="7"/>
  <c r="AI391" i="7"/>
  <c r="AH528" i="7"/>
  <c r="AJ391" i="7"/>
  <c r="AI528" i="7"/>
  <c r="AJ528" i="7"/>
  <c r="AK391" i="7"/>
  <c r="AK528" i="7"/>
  <c r="AL391" i="7"/>
  <c r="AM391" i="7"/>
  <c r="AL528" i="7"/>
  <c r="AM528" i="7"/>
  <c r="AN391" i="7"/>
  <c r="E414" i="7"/>
  <c r="C414" i="7"/>
  <c r="D414" i="7"/>
  <c r="G414" i="7"/>
  <c r="H414" i="7"/>
  <c r="F414" i="7"/>
  <c r="D551" i="7"/>
  <c r="C551" i="7"/>
  <c r="F551" i="7"/>
  <c r="G551" i="7"/>
  <c r="H551" i="7"/>
  <c r="E551" i="7"/>
  <c r="I414" i="7"/>
  <c r="J414" i="7"/>
  <c r="I551" i="7"/>
  <c r="K414" i="7"/>
  <c r="J551" i="7"/>
  <c r="K551" i="7"/>
  <c r="L414" i="7"/>
  <c r="L551" i="7"/>
  <c r="M414" i="7"/>
  <c r="N414" i="7"/>
  <c r="M551" i="7"/>
  <c r="N551" i="7"/>
  <c r="O414" i="7"/>
  <c r="P414" i="7"/>
  <c r="O551" i="7"/>
  <c r="P551" i="7"/>
  <c r="Q414" i="7"/>
  <c r="R414" i="7"/>
  <c r="Q551" i="7"/>
  <c r="S414" i="7"/>
  <c r="R551" i="7"/>
  <c r="T414" i="7"/>
  <c r="S551" i="7"/>
  <c r="T551" i="7"/>
  <c r="U414" i="7"/>
  <c r="U551" i="7"/>
  <c r="V414" i="7"/>
  <c r="W414" i="7"/>
  <c r="V551" i="7"/>
  <c r="X414" i="7"/>
  <c r="W551" i="7"/>
  <c r="X551" i="7"/>
  <c r="Y414" i="7"/>
  <c r="Y551" i="7"/>
  <c r="Z414" i="7"/>
  <c r="AA414" i="7"/>
  <c r="Z551" i="7"/>
  <c r="AA551" i="7"/>
  <c r="AB414" i="7"/>
  <c r="AB551" i="7"/>
  <c r="AC414" i="7"/>
  <c r="AC551" i="7"/>
  <c r="AD414" i="7"/>
  <c r="AE414" i="7"/>
  <c r="AD551" i="7"/>
  <c r="AE551" i="7"/>
  <c r="AF414" i="7"/>
  <c r="AG414" i="7"/>
  <c r="AF551" i="7"/>
  <c r="AH414" i="7"/>
  <c r="AG551" i="7"/>
  <c r="AI414" i="7"/>
  <c r="AH551" i="7"/>
  <c r="AI551" i="7"/>
  <c r="AJ414" i="7"/>
  <c r="AK414" i="7"/>
  <c r="AJ551" i="7"/>
  <c r="AL414" i="7"/>
  <c r="AK551" i="7"/>
  <c r="AM414" i="7"/>
  <c r="AL551" i="7"/>
  <c r="AM551" i="7"/>
  <c r="AN414" i="7"/>
  <c r="C437" i="7"/>
  <c r="C574" i="7"/>
  <c r="D437" i="7"/>
  <c r="F437" i="7"/>
  <c r="D574" i="7"/>
  <c r="E437" i="7"/>
  <c r="G437" i="7"/>
  <c r="E574" i="7"/>
  <c r="F574" i="7"/>
  <c r="G574" i="7"/>
  <c r="H437" i="7"/>
  <c r="I437" i="7"/>
  <c r="H574" i="7"/>
  <c r="J437" i="7"/>
  <c r="I574" i="7"/>
  <c r="J574" i="7"/>
  <c r="K437" i="7"/>
  <c r="L437" i="7"/>
  <c r="K574" i="7"/>
  <c r="L574" i="7"/>
  <c r="M437" i="7"/>
  <c r="M574" i="7"/>
  <c r="N437" i="7"/>
  <c r="N574" i="7"/>
  <c r="O437" i="7"/>
  <c r="P437" i="7"/>
  <c r="O574" i="7"/>
  <c r="Q437" i="7"/>
  <c r="P574" i="7"/>
  <c r="Q574" i="7"/>
  <c r="R437" i="7"/>
  <c r="R574" i="7"/>
  <c r="S437" i="7"/>
  <c r="S574" i="7"/>
  <c r="T437" i="7"/>
  <c r="U437" i="7"/>
  <c r="T574" i="7"/>
  <c r="U574" i="7"/>
  <c r="V437" i="7"/>
  <c r="V574" i="7"/>
  <c r="W437" i="7"/>
  <c r="X437" i="7"/>
  <c r="W574" i="7"/>
  <c r="Y437" i="7"/>
  <c r="X574" i="7"/>
  <c r="Y574" i="7"/>
  <c r="Z437" i="7"/>
  <c r="AA437" i="7"/>
  <c r="Z574" i="7"/>
  <c r="AB437" i="7"/>
  <c r="AA574" i="7"/>
  <c r="AC437" i="7"/>
  <c r="AB574" i="7"/>
  <c r="AC574" i="7"/>
  <c r="AD437" i="7"/>
  <c r="AD574" i="7"/>
  <c r="AE437" i="7"/>
  <c r="AE574" i="7"/>
  <c r="AF437" i="7"/>
  <c r="AG437" i="7"/>
  <c r="AF574" i="7"/>
  <c r="AH437" i="7"/>
  <c r="AG574" i="7"/>
  <c r="AI437" i="7"/>
  <c r="AH574" i="7"/>
  <c r="AJ437" i="7"/>
  <c r="AI574" i="7"/>
  <c r="AK437" i="7"/>
  <c r="AJ574" i="7"/>
  <c r="AL437" i="7"/>
  <c r="AK574" i="7"/>
  <c r="AL574" i="7"/>
  <c r="AM437" i="7"/>
  <c r="AN437" i="7"/>
  <c r="AM574" i="7"/>
  <c r="C445" i="7"/>
  <c r="L445" i="7"/>
  <c r="D445" i="7"/>
  <c r="I445" i="7"/>
  <c r="E445" i="7"/>
  <c r="K445" i="7"/>
  <c r="G445" i="7"/>
  <c r="F445" i="7"/>
  <c r="J445" i="7"/>
  <c r="H445" i="7"/>
  <c r="M445" i="7"/>
  <c r="F582" i="7"/>
  <c r="G582" i="7"/>
  <c r="K582" i="7"/>
  <c r="H582" i="7"/>
  <c r="D582" i="7"/>
  <c r="E582" i="7"/>
  <c r="L582" i="7"/>
  <c r="C582" i="7"/>
  <c r="J582" i="7"/>
  <c r="M582" i="7"/>
  <c r="N445" i="7"/>
  <c r="I582" i="7"/>
  <c r="N582" i="7"/>
  <c r="O445" i="7"/>
  <c r="O582" i="7"/>
  <c r="P445" i="7"/>
  <c r="P582" i="7"/>
  <c r="Q445" i="7"/>
  <c r="R445" i="7"/>
  <c r="Q582" i="7"/>
  <c r="S445" i="7"/>
  <c r="R582" i="7"/>
  <c r="T445" i="7"/>
  <c r="S582" i="7"/>
  <c r="T582" i="7"/>
  <c r="U445" i="7"/>
  <c r="V445" i="7"/>
  <c r="U582" i="7"/>
  <c r="W445" i="7"/>
  <c r="V582" i="7"/>
  <c r="W582" i="7"/>
  <c r="X445" i="7"/>
  <c r="X582" i="7"/>
  <c r="Y445" i="7"/>
  <c r="Y582" i="7"/>
  <c r="Z445" i="7"/>
  <c r="AA445" i="7"/>
  <c r="Z582" i="7"/>
  <c r="AB445" i="7"/>
  <c r="AA582" i="7"/>
  <c r="AB582" i="7"/>
  <c r="AC445" i="7"/>
  <c r="AC582" i="7"/>
  <c r="AD445" i="7"/>
  <c r="AD582" i="7"/>
  <c r="AE445" i="7"/>
  <c r="AF445" i="7"/>
  <c r="AE582" i="7"/>
  <c r="AF582" i="7"/>
  <c r="AG445" i="7"/>
  <c r="AH445" i="7"/>
  <c r="AG582" i="7"/>
  <c r="AH582" i="7"/>
  <c r="AI445" i="7"/>
  <c r="AJ445" i="7"/>
  <c r="AI582" i="7"/>
  <c r="AK445" i="7"/>
  <c r="AJ582" i="7"/>
  <c r="AL445" i="7"/>
  <c r="AK582" i="7"/>
  <c r="AL582" i="7"/>
  <c r="AM445" i="7"/>
  <c r="AN445" i="7"/>
  <c r="AM582" i="7"/>
  <c r="AO580" i="7"/>
  <c r="AO529" i="7"/>
  <c r="AO444" i="7"/>
  <c r="AO419" i="7"/>
  <c r="AO418" i="7"/>
  <c r="AN527" i="7"/>
  <c r="AO413" i="7"/>
  <c r="E415" i="7"/>
  <c r="I415" i="7"/>
  <c r="F415" i="7"/>
  <c r="H415" i="7"/>
  <c r="C415" i="7"/>
  <c r="G415" i="7"/>
  <c r="D415" i="7"/>
  <c r="C552" i="7"/>
  <c r="E552" i="7"/>
  <c r="J415" i="7"/>
  <c r="F552" i="7"/>
  <c r="H552" i="7"/>
  <c r="I552" i="7"/>
  <c r="D552" i="7"/>
  <c r="G552" i="7"/>
  <c r="J552" i="7"/>
  <c r="K415" i="7"/>
  <c r="K552" i="7"/>
  <c r="L415" i="7"/>
  <c r="L552" i="7"/>
  <c r="M415" i="7"/>
  <c r="N415" i="7"/>
  <c r="M552" i="7"/>
  <c r="O415" i="7"/>
  <c r="N552" i="7"/>
  <c r="P415" i="7"/>
  <c r="O552" i="7"/>
  <c r="P552" i="7"/>
  <c r="Q415" i="7"/>
  <c r="Q552" i="7"/>
  <c r="R415" i="7"/>
  <c r="S415" i="7"/>
  <c r="R552" i="7"/>
  <c r="T415" i="7"/>
  <c r="S552" i="7"/>
  <c r="U415" i="7"/>
  <c r="T552" i="7"/>
  <c r="V415" i="7"/>
  <c r="U552" i="7"/>
  <c r="V552" i="7"/>
  <c r="W415" i="7"/>
  <c r="X415" i="7"/>
  <c r="W552" i="7"/>
  <c r="X552" i="7"/>
  <c r="Y415" i="7"/>
  <c r="Y552" i="7"/>
  <c r="Z415" i="7"/>
  <c r="AA415" i="7"/>
  <c r="Z552" i="7"/>
  <c r="AB415" i="7"/>
  <c r="AA552" i="7"/>
  <c r="AC415" i="7"/>
  <c r="AB552" i="7"/>
  <c r="AC552" i="7"/>
  <c r="AD415" i="7"/>
  <c r="AE415" i="7"/>
  <c r="AD552" i="7"/>
  <c r="AE552" i="7"/>
  <c r="AF415" i="7"/>
  <c r="AG415" i="7"/>
  <c r="AF552" i="7"/>
  <c r="AG552" i="7"/>
  <c r="AH415" i="7"/>
  <c r="AH552" i="7"/>
  <c r="AI415" i="7"/>
  <c r="AJ415" i="7"/>
  <c r="AI552" i="7"/>
  <c r="AK415" i="7"/>
  <c r="AJ552" i="7"/>
  <c r="AL415" i="7"/>
  <c r="AK552" i="7"/>
  <c r="AM415" i="7"/>
  <c r="AL552" i="7"/>
  <c r="AM552" i="7"/>
  <c r="AN415" i="7"/>
  <c r="C385" i="7"/>
  <c r="D385" i="7"/>
  <c r="F385" i="7"/>
  <c r="E385" i="7"/>
  <c r="C522" i="7"/>
  <c r="D522" i="7"/>
  <c r="E522" i="7"/>
  <c r="F522" i="7"/>
  <c r="G385" i="7"/>
  <c r="G522" i="7"/>
  <c r="H385" i="7"/>
  <c r="I385" i="7"/>
  <c r="H522" i="7"/>
  <c r="I522" i="7"/>
  <c r="J385" i="7"/>
  <c r="K385" i="7"/>
  <c r="J522" i="7"/>
  <c r="K522" i="7"/>
  <c r="L385" i="7"/>
  <c r="L522" i="7"/>
  <c r="M385" i="7"/>
  <c r="N385" i="7"/>
  <c r="M522" i="7"/>
  <c r="O385" i="7"/>
  <c r="N522" i="7"/>
  <c r="O522" i="7"/>
  <c r="P385" i="7"/>
  <c r="Q385" i="7"/>
  <c r="P522" i="7"/>
  <c r="R385" i="7"/>
  <c r="Q522" i="7"/>
  <c r="S385" i="7"/>
  <c r="R522" i="7"/>
  <c r="T385" i="7"/>
  <c r="S522" i="7"/>
  <c r="T522" i="7"/>
  <c r="U385" i="7"/>
  <c r="U522" i="7"/>
  <c r="V385" i="7"/>
  <c r="W385" i="7"/>
  <c r="V522" i="7"/>
  <c r="X385" i="7"/>
  <c r="W522" i="7"/>
  <c r="X522" i="7"/>
  <c r="Y385" i="7"/>
  <c r="Y522" i="7"/>
  <c r="Z385" i="7"/>
  <c r="Z522" i="7"/>
  <c r="AA385" i="7"/>
  <c r="AB385" i="7"/>
  <c r="AA522" i="7"/>
  <c r="AB522" i="7"/>
  <c r="AC385" i="7"/>
  <c r="AD385" i="7"/>
  <c r="AC522" i="7"/>
  <c r="AD522" i="7"/>
  <c r="AE385" i="7"/>
  <c r="AE522" i="7"/>
  <c r="AF385" i="7"/>
  <c r="AF522" i="7"/>
  <c r="AG385" i="7"/>
  <c r="AH385" i="7"/>
  <c r="AG522" i="7"/>
  <c r="AI385" i="7"/>
  <c r="AH522" i="7"/>
  <c r="AI522" i="7"/>
  <c r="AJ385" i="7"/>
  <c r="AJ522" i="7"/>
  <c r="AK385" i="7"/>
  <c r="AL385" i="7"/>
  <c r="AK522" i="7"/>
  <c r="AM385" i="7"/>
  <c r="AL522" i="7"/>
  <c r="AM522" i="7"/>
  <c r="AN385" i="7"/>
  <c r="G393" i="7"/>
  <c r="C393" i="7"/>
  <c r="J393" i="7"/>
  <c r="H393" i="7"/>
  <c r="E393" i="7"/>
  <c r="L393" i="7"/>
  <c r="I393" i="7"/>
  <c r="F393" i="7"/>
  <c r="K393" i="7"/>
  <c r="M393" i="7"/>
  <c r="D393" i="7"/>
  <c r="K530" i="7"/>
  <c r="H530" i="7"/>
  <c r="M530" i="7"/>
  <c r="J530" i="7"/>
  <c r="N393" i="7"/>
  <c r="F530" i="7"/>
  <c r="D530" i="7"/>
  <c r="L530" i="7"/>
  <c r="E530" i="7"/>
  <c r="I530" i="7"/>
  <c r="G530" i="7"/>
  <c r="C530" i="7"/>
  <c r="O393" i="7"/>
  <c r="N530" i="7"/>
  <c r="O530" i="7"/>
  <c r="P393" i="7"/>
  <c r="P530" i="7"/>
  <c r="Q393" i="7"/>
  <c r="R393" i="7"/>
  <c r="Q530" i="7"/>
  <c r="R530" i="7"/>
  <c r="S393" i="7"/>
  <c r="T393" i="7"/>
  <c r="S530" i="7"/>
  <c r="U393" i="7"/>
  <c r="T530" i="7"/>
  <c r="U530" i="7"/>
  <c r="V393" i="7"/>
  <c r="V530" i="7"/>
  <c r="W393" i="7"/>
  <c r="X393" i="7"/>
  <c r="W530" i="7"/>
  <c r="Y393" i="7"/>
  <c r="X530" i="7"/>
  <c r="Z393" i="7"/>
  <c r="Y530" i="7"/>
  <c r="AA393" i="7"/>
  <c r="Z530" i="7"/>
  <c r="AB393" i="7"/>
  <c r="AA530" i="7"/>
  <c r="AC393" i="7"/>
  <c r="AB530" i="7"/>
  <c r="AD393" i="7"/>
  <c r="AC530" i="7"/>
  <c r="AE393" i="7"/>
  <c r="AD530" i="7"/>
  <c r="AF393" i="7"/>
  <c r="AE530" i="7"/>
  <c r="AF530" i="7"/>
  <c r="AG393" i="7"/>
  <c r="AG530" i="7"/>
  <c r="AH393" i="7"/>
  <c r="AH530" i="7"/>
  <c r="AI393" i="7"/>
  <c r="AJ393" i="7"/>
  <c r="AI530" i="7"/>
  <c r="AJ530" i="7"/>
  <c r="AK393" i="7"/>
  <c r="AL393" i="7"/>
  <c r="AK530" i="7"/>
  <c r="AM393" i="7"/>
  <c r="AL530" i="7"/>
  <c r="AM530" i="7"/>
  <c r="AN393" i="7"/>
  <c r="I416" i="7"/>
  <c r="E416" i="7"/>
  <c r="D416" i="7"/>
  <c r="F416" i="7"/>
  <c r="H416" i="7"/>
  <c r="J416" i="7"/>
  <c r="C416" i="7"/>
  <c r="G416" i="7"/>
  <c r="J553" i="7"/>
  <c r="K416" i="7"/>
  <c r="E553" i="7"/>
  <c r="G553" i="7"/>
  <c r="F553" i="7"/>
  <c r="I553" i="7"/>
  <c r="D553" i="7"/>
  <c r="C553" i="7"/>
  <c r="H553" i="7"/>
  <c r="L416" i="7"/>
  <c r="K553" i="7"/>
  <c r="L553" i="7"/>
  <c r="M416" i="7"/>
  <c r="N416" i="7"/>
  <c r="M553" i="7"/>
  <c r="O416" i="7"/>
  <c r="N553" i="7"/>
  <c r="P416" i="7"/>
  <c r="O553" i="7"/>
  <c r="P553" i="7"/>
  <c r="Q416" i="7"/>
  <c r="Q553" i="7"/>
  <c r="R416" i="7"/>
  <c r="S416" i="7"/>
  <c r="R553" i="7"/>
  <c r="S553" i="7"/>
  <c r="T416" i="7"/>
  <c r="T553" i="7"/>
  <c r="U416" i="7"/>
  <c r="U553" i="7"/>
  <c r="V416" i="7"/>
  <c r="W416" i="7"/>
  <c r="V553" i="7"/>
  <c r="W553" i="7"/>
  <c r="X416" i="7"/>
  <c r="X553" i="7"/>
  <c r="Y416" i="7"/>
  <c r="Y553" i="7"/>
  <c r="Z416" i="7"/>
  <c r="Z553" i="7"/>
  <c r="AA416" i="7"/>
  <c r="AA553" i="7"/>
  <c r="AB416" i="7"/>
  <c r="AB553" i="7"/>
  <c r="AC416" i="7"/>
  <c r="AC553" i="7"/>
  <c r="AD416" i="7"/>
  <c r="AE416" i="7"/>
  <c r="AD553" i="7"/>
  <c r="AF416" i="7"/>
  <c r="AE553" i="7"/>
  <c r="AG416" i="7"/>
  <c r="AF553" i="7"/>
  <c r="AG553" i="7"/>
  <c r="AH416" i="7"/>
  <c r="AI416" i="7"/>
  <c r="AH553" i="7"/>
  <c r="AJ416" i="7"/>
  <c r="AI553" i="7"/>
  <c r="AK416" i="7"/>
  <c r="AJ553" i="7"/>
  <c r="AK553" i="7"/>
  <c r="AL416" i="7"/>
  <c r="AM416" i="7"/>
  <c r="AL553" i="7"/>
  <c r="AM553" i="7"/>
  <c r="AN416" i="7"/>
  <c r="F439" i="7"/>
  <c r="G439" i="7"/>
  <c r="E439" i="7"/>
  <c r="C439" i="7"/>
  <c r="D439" i="7"/>
  <c r="F576" i="7"/>
  <c r="C576" i="7"/>
  <c r="D576" i="7"/>
  <c r="H439" i="7"/>
  <c r="E576" i="7"/>
  <c r="G576" i="7"/>
  <c r="I439" i="7"/>
  <c r="H576" i="7"/>
  <c r="I576" i="7"/>
  <c r="J439" i="7"/>
  <c r="J576" i="7"/>
  <c r="K439" i="7"/>
  <c r="K576" i="7"/>
  <c r="L439" i="7"/>
  <c r="M439" i="7"/>
  <c r="L576" i="7"/>
  <c r="N439" i="7"/>
  <c r="M576" i="7"/>
  <c r="O439" i="7"/>
  <c r="N576" i="7"/>
  <c r="P439" i="7"/>
  <c r="O576" i="7"/>
  <c r="P576" i="7"/>
  <c r="Q439" i="7"/>
  <c r="Q576" i="7"/>
  <c r="R439" i="7"/>
  <c r="S439" i="7"/>
  <c r="R576" i="7"/>
  <c r="S576" i="7"/>
  <c r="T439" i="7"/>
  <c r="U439" i="7"/>
  <c r="T576" i="7"/>
  <c r="V439" i="7"/>
  <c r="U576" i="7"/>
  <c r="V576" i="7"/>
  <c r="W439" i="7"/>
  <c r="W576" i="7"/>
  <c r="X439" i="7"/>
  <c r="X576" i="7"/>
  <c r="Y439" i="7"/>
  <c r="Y576" i="7"/>
  <c r="Z439" i="7"/>
  <c r="AA439" i="7"/>
  <c r="Z576" i="7"/>
  <c r="AB439" i="7"/>
  <c r="AA576" i="7"/>
  <c r="AC439" i="7"/>
  <c r="AB576" i="7"/>
  <c r="AD439" i="7"/>
  <c r="AC576" i="7"/>
  <c r="AE439" i="7"/>
  <c r="AD576" i="7"/>
  <c r="AF439" i="7"/>
  <c r="AE576" i="7"/>
  <c r="AG439" i="7"/>
  <c r="AF576" i="7"/>
  <c r="AG576" i="7"/>
  <c r="AH439" i="7"/>
  <c r="AI439" i="7"/>
  <c r="AH576" i="7"/>
  <c r="AI576" i="7"/>
  <c r="AJ439" i="7"/>
  <c r="AK439" i="7"/>
  <c r="AJ576" i="7"/>
  <c r="AK576" i="7"/>
  <c r="AL439" i="7"/>
  <c r="AM439" i="7"/>
  <c r="AL576" i="7"/>
  <c r="AN439" i="7"/>
  <c r="AM576" i="7"/>
  <c r="AO556" i="7"/>
  <c r="AN553" i="7"/>
  <c r="AN552" i="7"/>
  <c r="AO389" i="7"/>
  <c r="C392" i="7"/>
  <c r="F392" i="7"/>
  <c r="D392" i="7"/>
  <c r="L392" i="7"/>
  <c r="E392" i="7"/>
  <c r="I392" i="7"/>
  <c r="H392" i="7"/>
  <c r="J392" i="7"/>
  <c r="G392" i="7"/>
  <c r="K392" i="7"/>
  <c r="L529" i="7"/>
  <c r="D529" i="7"/>
  <c r="C529" i="7"/>
  <c r="E529" i="7"/>
  <c r="F529" i="7"/>
  <c r="H529" i="7"/>
  <c r="I529" i="7"/>
  <c r="M392" i="7"/>
  <c r="K529" i="7"/>
  <c r="J529" i="7"/>
  <c r="G529" i="7"/>
  <c r="M529" i="7"/>
  <c r="N392" i="7"/>
  <c r="O392" i="7"/>
  <c r="N529" i="7"/>
  <c r="P392" i="7"/>
  <c r="O529" i="7"/>
  <c r="Q392" i="7"/>
  <c r="P529" i="7"/>
  <c r="R392" i="7"/>
  <c r="Q529" i="7"/>
  <c r="R529" i="7"/>
  <c r="S392" i="7"/>
  <c r="S529" i="7"/>
  <c r="T392" i="7"/>
  <c r="T529" i="7"/>
  <c r="U392" i="7"/>
  <c r="U529" i="7"/>
  <c r="V392" i="7"/>
  <c r="V529" i="7"/>
  <c r="W392" i="7"/>
  <c r="W529" i="7"/>
  <c r="X392" i="7"/>
  <c r="Y392" i="7"/>
  <c r="X529" i="7"/>
  <c r="Y529" i="7"/>
  <c r="Z392" i="7"/>
  <c r="AA392" i="7"/>
  <c r="Z529" i="7"/>
  <c r="AB392" i="7"/>
  <c r="AA529" i="7"/>
  <c r="AC392" i="7"/>
  <c r="AB529" i="7"/>
  <c r="AC529" i="7"/>
  <c r="AD392" i="7"/>
  <c r="AD529" i="7"/>
  <c r="AE392" i="7"/>
  <c r="AF392" i="7"/>
  <c r="AE529" i="7"/>
  <c r="AF529" i="7"/>
  <c r="AG392" i="7"/>
  <c r="AG529" i="7"/>
  <c r="AH392" i="7"/>
  <c r="AI392" i="7"/>
  <c r="AH529" i="7"/>
  <c r="AJ392" i="7"/>
  <c r="AI529" i="7"/>
  <c r="AK392" i="7"/>
  <c r="AJ529" i="7"/>
  <c r="AK529" i="7"/>
  <c r="AL392" i="7"/>
  <c r="AM392" i="7"/>
  <c r="AL529" i="7"/>
  <c r="AM529" i="7"/>
  <c r="AN392" i="7"/>
  <c r="C386" i="7"/>
  <c r="D386" i="7"/>
  <c r="C523" i="7"/>
  <c r="E386" i="7"/>
  <c r="F386" i="7"/>
  <c r="G386" i="7"/>
  <c r="D523" i="7"/>
  <c r="G523" i="7"/>
  <c r="H386" i="7"/>
  <c r="F523" i="7"/>
  <c r="E523" i="7"/>
  <c r="H523" i="7"/>
  <c r="I386" i="7"/>
  <c r="J386" i="7"/>
  <c r="I523" i="7"/>
  <c r="J523" i="7"/>
  <c r="K386" i="7"/>
  <c r="K523" i="7"/>
  <c r="L386" i="7"/>
  <c r="L523" i="7"/>
  <c r="M386" i="7"/>
  <c r="N386" i="7"/>
  <c r="M523" i="7"/>
  <c r="N523" i="7"/>
  <c r="O386" i="7"/>
  <c r="P386" i="7"/>
  <c r="O523" i="7"/>
  <c r="Q386" i="7"/>
  <c r="P523" i="7"/>
  <c r="R386" i="7"/>
  <c r="Q523" i="7"/>
  <c r="R523" i="7"/>
  <c r="S386" i="7"/>
  <c r="T386" i="7"/>
  <c r="S523" i="7"/>
  <c r="U386" i="7"/>
  <c r="T523" i="7"/>
  <c r="V386" i="7"/>
  <c r="U523" i="7"/>
  <c r="W386" i="7"/>
  <c r="V523" i="7"/>
  <c r="W523" i="7"/>
  <c r="X386" i="7"/>
  <c r="Y386" i="7"/>
  <c r="X523" i="7"/>
  <c r="Z386" i="7"/>
  <c r="Y523" i="7"/>
  <c r="Z523" i="7"/>
  <c r="AA386" i="7"/>
  <c r="AA523" i="7"/>
  <c r="AB386" i="7"/>
  <c r="AC386" i="7"/>
  <c r="AB523" i="7"/>
  <c r="AD386" i="7"/>
  <c r="AC523" i="7"/>
  <c r="AE386" i="7"/>
  <c r="AD523" i="7"/>
  <c r="AE523" i="7"/>
  <c r="AF386" i="7"/>
  <c r="AG386" i="7"/>
  <c r="AF523" i="7"/>
  <c r="AH386" i="7"/>
  <c r="AG523" i="7"/>
  <c r="AH523" i="7"/>
  <c r="AI386" i="7"/>
  <c r="AI523" i="7"/>
  <c r="AJ386" i="7"/>
  <c r="AK386" i="7"/>
  <c r="AJ523" i="7"/>
  <c r="AK523" i="7"/>
  <c r="AL386" i="7"/>
  <c r="AM386" i="7"/>
  <c r="AL523" i="7"/>
  <c r="AN386" i="7"/>
  <c r="AM523" i="7"/>
  <c r="I417" i="7"/>
  <c r="H417" i="7"/>
  <c r="E417" i="7"/>
  <c r="C417" i="7"/>
  <c r="K417" i="7"/>
  <c r="D417" i="7"/>
  <c r="G417" i="7"/>
  <c r="J417" i="7"/>
  <c r="F417" i="7"/>
  <c r="C554" i="7"/>
  <c r="L417" i="7"/>
  <c r="J554" i="7"/>
  <c r="E554" i="7"/>
  <c r="H554" i="7"/>
  <c r="G554" i="7"/>
  <c r="F554" i="7"/>
  <c r="I554" i="7"/>
  <c r="K554" i="7"/>
  <c r="D554" i="7"/>
  <c r="L554" i="7"/>
  <c r="M417" i="7"/>
  <c r="N417" i="7"/>
  <c r="M554" i="7"/>
  <c r="N554" i="7"/>
  <c r="O417" i="7"/>
  <c r="O554" i="7"/>
  <c r="P417" i="7"/>
  <c r="P554" i="7"/>
  <c r="Q417" i="7"/>
  <c r="R417" i="7"/>
  <c r="Q554" i="7"/>
  <c r="R554" i="7"/>
  <c r="S417" i="7"/>
  <c r="T417" i="7"/>
  <c r="S554" i="7"/>
  <c r="U417" i="7"/>
  <c r="T554" i="7"/>
  <c r="U554" i="7"/>
  <c r="V417" i="7"/>
  <c r="V554" i="7"/>
  <c r="W417" i="7"/>
  <c r="X417" i="7"/>
  <c r="W554" i="7"/>
  <c r="Y417" i="7"/>
  <c r="X554" i="7"/>
  <c r="Z417" i="7"/>
  <c r="Y554" i="7"/>
  <c r="AA417" i="7"/>
  <c r="Z554" i="7"/>
  <c r="AA554" i="7"/>
  <c r="AB417" i="7"/>
  <c r="AC417" i="7"/>
  <c r="AB554" i="7"/>
  <c r="AD417" i="7"/>
  <c r="AC554" i="7"/>
  <c r="AE417" i="7"/>
  <c r="AD554" i="7"/>
  <c r="AE554" i="7"/>
  <c r="AF417" i="7"/>
  <c r="AF554" i="7"/>
  <c r="AG417" i="7"/>
  <c r="AH417" i="7"/>
  <c r="AG554" i="7"/>
  <c r="AH554" i="7"/>
  <c r="AI417" i="7"/>
  <c r="AJ417" i="7"/>
  <c r="AI554" i="7"/>
  <c r="AK417" i="7"/>
  <c r="AJ554" i="7"/>
  <c r="AL417" i="7"/>
  <c r="AK554" i="7"/>
  <c r="AL554" i="7"/>
  <c r="AM417" i="7"/>
  <c r="AM554" i="7"/>
  <c r="AN417" i="7"/>
  <c r="C440" i="7"/>
  <c r="E440" i="7"/>
  <c r="F440" i="7"/>
  <c r="H440" i="7"/>
  <c r="D440" i="7"/>
  <c r="G440" i="7"/>
  <c r="F577" i="7"/>
  <c r="G577" i="7"/>
  <c r="D577" i="7"/>
  <c r="E577" i="7"/>
  <c r="C577" i="7"/>
  <c r="I440" i="7"/>
  <c r="H577" i="7"/>
  <c r="I577" i="7"/>
  <c r="J440" i="7"/>
  <c r="K440" i="7"/>
  <c r="J577" i="7"/>
  <c r="K577" i="7"/>
  <c r="L440" i="7"/>
  <c r="L577" i="7"/>
  <c r="M440" i="7"/>
  <c r="N440" i="7"/>
  <c r="M577" i="7"/>
  <c r="O440" i="7"/>
  <c r="N577" i="7"/>
  <c r="O577" i="7"/>
  <c r="P440" i="7"/>
  <c r="Q440" i="7"/>
  <c r="P577" i="7"/>
  <c r="R440" i="7"/>
  <c r="Q577" i="7"/>
  <c r="R577" i="7"/>
  <c r="S440" i="7"/>
  <c r="T440" i="7"/>
  <c r="S577" i="7"/>
  <c r="U440" i="7"/>
  <c r="T577" i="7"/>
  <c r="V440" i="7"/>
  <c r="U577" i="7"/>
  <c r="V577" i="7"/>
  <c r="W440" i="7"/>
  <c r="X440" i="7"/>
  <c r="W577" i="7"/>
  <c r="Y440" i="7"/>
  <c r="X577" i="7"/>
  <c r="Y577" i="7"/>
  <c r="Z440" i="7"/>
  <c r="AA440" i="7"/>
  <c r="Z577" i="7"/>
  <c r="AA577" i="7"/>
  <c r="AB440" i="7"/>
  <c r="AB577" i="7"/>
  <c r="AC440" i="7"/>
  <c r="AC577" i="7"/>
  <c r="AD440" i="7"/>
  <c r="AE440" i="7"/>
  <c r="AD577" i="7"/>
  <c r="AE577" i="7"/>
  <c r="AF440" i="7"/>
  <c r="AG440" i="7"/>
  <c r="AF577" i="7"/>
  <c r="AG577" i="7"/>
  <c r="AH440" i="7"/>
  <c r="AH577" i="7"/>
  <c r="AI440" i="7"/>
  <c r="AJ440" i="7"/>
  <c r="AI577" i="7"/>
  <c r="AK440" i="7"/>
  <c r="AJ577" i="7"/>
  <c r="AL440" i="7"/>
  <c r="AK577" i="7"/>
  <c r="AM440" i="7"/>
  <c r="AL577" i="7"/>
  <c r="AN440" i="7"/>
  <c r="AM577" i="7"/>
  <c r="AO581" i="7"/>
  <c r="AO552" i="7"/>
  <c r="AN580" i="7"/>
  <c r="AN522" i="7"/>
  <c r="AN582" i="7"/>
  <c r="AO416" i="7"/>
  <c r="AO439" i="7"/>
  <c r="E387" i="7"/>
  <c r="C387" i="7"/>
  <c r="D387" i="7"/>
  <c r="F387" i="7"/>
  <c r="G387" i="7"/>
  <c r="G524" i="7"/>
  <c r="E524" i="7"/>
  <c r="F524" i="7"/>
  <c r="C524" i="7"/>
  <c r="H387" i="7"/>
  <c r="D524" i="7"/>
  <c r="I387" i="7"/>
  <c r="H524" i="7"/>
  <c r="J387" i="7"/>
  <c r="I524" i="7"/>
  <c r="K387" i="7"/>
  <c r="J524" i="7"/>
  <c r="L387" i="7"/>
  <c r="K524" i="7"/>
  <c r="L524" i="7"/>
  <c r="M387" i="7"/>
  <c r="N387" i="7"/>
  <c r="M524" i="7"/>
  <c r="O387" i="7"/>
  <c r="N524" i="7"/>
  <c r="P387" i="7"/>
  <c r="O524" i="7"/>
  <c r="P524" i="7"/>
  <c r="Q387" i="7"/>
  <c r="Q524" i="7"/>
  <c r="R387" i="7"/>
  <c r="S387" i="7"/>
  <c r="R524" i="7"/>
  <c r="T387" i="7"/>
  <c r="S524" i="7"/>
  <c r="U387" i="7"/>
  <c r="T524" i="7"/>
  <c r="V387" i="7"/>
  <c r="U524" i="7"/>
  <c r="V524" i="7"/>
  <c r="W387" i="7"/>
  <c r="W524" i="7"/>
  <c r="X387" i="7"/>
  <c r="X524" i="7"/>
  <c r="Y387" i="7"/>
  <c r="Y524" i="7"/>
  <c r="Z387" i="7"/>
  <c r="AA387" i="7"/>
  <c r="Z524" i="7"/>
  <c r="AA524" i="7"/>
  <c r="AB387" i="7"/>
  <c r="AB524" i="7"/>
  <c r="AC387" i="7"/>
  <c r="AC524" i="7"/>
  <c r="AD387" i="7"/>
  <c r="AE387" i="7"/>
  <c r="AD524" i="7"/>
  <c r="AF387" i="7"/>
  <c r="AE524" i="7"/>
  <c r="AF524" i="7"/>
  <c r="AG387" i="7"/>
  <c r="AG524" i="7"/>
  <c r="AH387" i="7"/>
  <c r="AH524" i="7"/>
  <c r="AI387" i="7"/>
  <c r="AJ387" i="7"/>
  <c r="AI524" i="7"/>
  <c r="AJ524" i="7"/>
  <c r="AK387" i="7"/>
  <c r="AK524" i="7"/>
  <c r="AL387" i="7"/>
  <c r="AL524" i="7"/>
  <c r="AM387" i="7"/>
  <c r="AM524" i="7"/>
  <c r="AN387" i="7"/>
  <c r="K418" i="7"/>
  <c r="L418" i="7"/>
  <c r="E418" i="7"/>
  <c r="F418" i="7"/>
  <c r="J418" i="7"/>
  <c r="C418" i="7"/>
  <c r="D418" i="7"/>
  <c r="G418" i="7"/>
  <c r="I418" i="7"/>
  <c r="H418" i="7"/>
  <c r="K555" i="7"/>
  <c r="I555" i="7"/>
  <c r="H555" i="7"/>
  <c r="E555" i="7"/>
  <c r="G555" i="7"/>
  <c r="L555" i="7"/>
  <c r="J555" i="7"/>
  <c r="D555" i="7"/>
  <c r="C555" i="7"/>
  <c r="M418" i="7"/>
  <c r="F555" i="7"/>
  <c r="M555" i="7"/>
  <c r="N418" i="7"/>
  <c r="O418" i="7"/>
  <c r="N555" i="7"/>
  <c r="P418" i="7"/>
  <c r="O555" i="7"/>
  <c r="P555" i="7"/>
  <c r="Q418" i="7"/>
  <c r="R418" i="7"/>
  <c r="Q555" i="7"/>
  <c r="R555" i="7"/>
  <c r="S418" i="7"/>
  <c r="T418" i="7"/>
  <c r="S555" i="7"/>
  <c r="T555" i="7"/>
  <c r="U418" i="7"/>
  <c r="U555" i="7"/>
  <c r="V418" i="7"/>
  <c r="V555" i="7"/>
  <c r="W418" i="7"/>
  <c r="W555" i="7"/>
  <c r="X418" i="7"/>
  <c r="X555" i="7"/>
  <c r="Y418" i="7"/>
  <c r="Y555" i="7"/>
  <c r="Z418" i="7"/>
  <c r="Z555" i="7"/>
  <c r="AA418" i="7"/>
  <c r="AA555" i="7"/>
  <c r="AB418" i="7"/>
  <c r="AB555" i="7"/>
  <c r="AC418" i="7"/>
  <c r="AD418" i="7"/>
  <c r="AC555" i="7"/>
  <c r="AE418" i="7"/>
  <c r="AD555" i="7"/>
  <c r="AF418" i="7"/>
  <c r="AE555" i="7"/>
  <c r="AG418" i="7"/>
  <c r="AF555" i="7"/>
  <c r="AH418" i="7"/>
  <c r="AG555" i="7"/>
  <c r="AI418" i="7"/>
  <c r="AH555" i="7"/>
  <c r="AI555" i="7"/>
  <c r="AJ418" i="7"/>
  <c r="AJ555" i="7"/>
  <c r="AK418" i="7"/>
  <c r="AK555" i="7"/>
  <c r="AL418" i="7"/>
  <c r="AM418" i="7"/>
  <c r="AL555" i="7"/>
  <c r="AM555" i="7"/>
  <c r="AN418" i="7"/>
  <c r="E441" i="7"/>
  <c r="F441" i="7"/>
  <c r="D441" i="7"/>
  <c r="G441" i="7"/>
  <c r="H441" i="7"/>
  <c r="I441" i="7"/>
  <c r="C441" i="7"/>
  <c r="F578" i="7"/>
  <c r="C578" i="7"/>
  <c r="E578" i="7"/>
  <c r="J441" i="7"/>
  <c r="I578" i="7"/>
  <c r="H578" i="7"/>
  <c r="G578" i="7"/>
  <c r="D578" i="7"/>
  <c r="J578" i="7"/>
  <c r="K441" i="7"/>
  <c r="K578" i="7"/>
  <c r="L441" i="7"/>
  <c r="M441" i="7"/>
  <c r="L578" i="7"/>
  <c r="M578" i="7"/>
  <c r="N441" i="7"/>
  <c r="O441" i="7"/>
  <c r="N578" i="7"/>
  <c r="P441" i="7"/>
  <c r="O578" i="7"/>
  <c r="P578" i="7"/>
  <c r="Q441" i="7"/>
  <c r="R441" i="7"/>
  <c r="Q578" i="7"/>
  <c r="R578" i="7"/>
  <c r="S441" i="7"/>
  <c r="S578" i="7"/>
  <c r="T441" i="7"/>
  <c r="T578" i="7"/>
  <c r="U441" i="7"/>
  <c r="V441" i="7"/>
  <c r="U578" i="7"/>
  <c r="V578" i="7"/>
  <c r="W441" i="7"/>
  <c r="X441" i="7"/>
  <c r="W578" i="7"/>
  <c r="Y441" i="7"/>
  <c r="X578" i="7"/>
  <c r="Z441" i="7"/>
  <c r="Y578" i="7"/>
  <c r="Z578" i="7"/>
  <c r="AA441" i="7"/>
  <c r="AB441" i="7"/>
  <c r="AA578" i="7"/>
  <c r="AC441" i="7"/>
  <c r="AB578" i="7"/>
  <c r="AC578" i="7"/>
  <c r="AD441" i="7"/>
  <c r="AE441" i="7"/>
  <c r="AD578" i="7"/>
  <c r="AE578" i="7"/>
  <c r="AF441" i="7"/>
  <c r="AG441" i="7"/>
  <c r="AF578" i="7"/>
  <c r="AG578" i="7"/>
  <c r="AH441" i="7"/>
  <c r="AI441" i="7"/>
  <c r="AH578" i="7"/>
  <c r="AJ441" i="7"/>
  <c r="AI578" i="7"/>
  <c r="AJ578" i="7"/>
  <c r="AK441" i="7"/>
  <c r="AL441" i="7"/>
  <c r="AK578" i="7"/>
  <c r="AL578" i="7"/>
  <c r="AM441" i="7"/>
  <c r="AM578" i="7"/>
  <c r="AN441" i="7"/>
  <c r="AO577" i="7"/>
  <c r="AO548" i="7"/>
  <c r="AO445" i="7"/>
  <c r="AN577" i="7"/>
  <c r="AO441" i="7"/>
  <c r="AO392" i="7"/>
  <c r="AO415" i="7"/>
  <c r="AO414" i="7"/>
  <c r="AN529" i="7"/>
  <c r="C438" i="7"/>
  <c r="F438" i="7"/>
  <c r="C575" i="7"/>
  <c r="E438" i="7"/>
  <c r="D438" i="7"/>
  <c r="D575" i="7"/>
  <c r="E575" i="7"/>
  <c r="F575" i="7"/>
  <c r="G438" i="7"/>
  <c r="G575" i="7"/>
  <c r="H438" i="7"/>
  <c r="I438" i="7"/>
  <c r="H575" i="7"/>
  <c r="I575" i="7"/>
  <c r="J438" i="7"/>
  <c r="J575" i="7"/>
  <c r="K438" i="7"/>
  <c r="L438" i="7"/>
  <c r="K575" i="7"/>
  <c r="M438" i="7"/>
  <c r="L575" i="7"/>
  <c r="M575" i="7"/>
  <c r="N438" i="7"/>
  <c r="N575" i="7"/>
  <c r="O438" i="7"/>
  <c r="P438" i="7"/>
  <c r="O575" i="7"/>
  <c r="Q438" i="7"/>
  <c r="P575" i="7"/>
  <c r="R438" i="7"/>
  <c r="Q575" i="7"/>
  <c r="S438" i="7"/>
  <c r="R575" i="7"/>
  <c r="S575" i="7"/>
  <c r="T438" i="7"/>
  <c r="T575" i="7"/>
  <c r="U438" i="7"/>
  <c r="U575" i="7"/>
  <c r="V438" i="7"/>
  <c r="V575" i="7"/>
  <c r="W438" i="7"/>
  <c r="X438" i="7"/>
  <c r="W575" i="7"/>
  <c r="X575" i="7"/>
  <c r="Y438" i="7"/>
  <c r="Y575" i="7"/>
  <c r="Z438" i="7"/>
  <c r="AA438" i="7"/>
  <c r="Z575" i="7"/>
  <c r="AA575" i="7"/>
  <c r="AB438" i="7"/>
  <c r="AC438" i="7"/>
  <c r="AB575" i="7"/>
  <c r="AD438" i="7"/>
  <c r="AC575" i="7"/>
  <c r="AE438" i="7"/>
  <c r="AD575" i="7"/>
  <c r="AE575" i="7"/>
  <c r="AF438" i="7"/>
  <c r="AG438" i="7"/>
  <c r="AF575" i="7"/>
  <c r="AH438" i="7"/>
  <c r="AG575" i="7"/>
  <c r="AI438" i="7"/>
  <c r="AH575" i="7"/>
  <c r="AJ438" i="7"/>
  <c r="AI575" i="7"/>
  <c r="AK438" i="7"/>
  <c r="AJ575" i="7"/>
  <c r="AL438" i="7"/>
  <c r="AK575" i="7"/>
  <c r="AM438" i="7"/>
  <c r="AL575" i="7"/>
  <c r="AN438" i="7"/>
  <c r="AM575" i="7"/>
  <c r="C388" i="7"/>
  <c r="F388" i="7"/>
  <c r="E388" i="7"/>
  <c r="G388" i="7"/>
  <c r="H388" i="7"/>
  <c r="D388" i="7"/>
  <c r="I388" i="7"/>
  <c r="F525" i="7"/>
  <c r="D525" i="7"/>
  <c r="C525" i="7"/>
  <c r="G525" i="7"/>
  <c r="H525" i="7"/>
  <c r="E525" i="7"/>
  <c r="I525" i="7"/>
  <c r="J388" i="7"/>
  <c r="J525" i="7"/>
  <c r="K388" i="7"/>
  <c r="L388" i="7"/>
  <c r="K525" i="7"/>
  <c r="L525" i="7"/>
  <c r="M388" i="7"/>
  <c r="M525" i="7"/>
  <c r="N388" i="7"/>
  <c r="N525" i="7"/>
  <c r="O388" i="7"/>
  <c r="O525" i="7"/>
  <c r="P388" i="7"/>
  <c r="P525" i="7"/>
  <c r="Q388" i="7"/>
  <c r="R388" i="7"/>
  <c r="Q525" i="7"/>
  <c r="R525" i="7"/>
  <c r="S388" i="7"/>
  <c r="T388" i="7"/>
  <c r="S525" i="7"/>
  <c r="T525" i="7"/>
  <c r="U388" i="7"/>
  <c r="U525" i="7"/>
  <c r="V388" i="7"/>
  <c r="V525" i="7"/>
  <c r="W388" i="7"/>
  <c r="W525" i="7"/>
  <c r="X388" i="7"/>
  <c r="Y388" i="7"/>
  <c r="X525" i="7"/>
  <c r="Y525" i="7"/>
  <c r="Z388" i="7"/>
  <c r="AA388" i="7"/>
  <c r="Z525" i="7"/>
  <c r="AA525" i="7"/>
  <c r="AB388" i="7"/>
  <c r="AC388" i="7"/>
  <c r="AB525" i="7"/>
  <c r="AD388" i="7"/>
  <c r="AC525" i="7"/>
  <c r="AE388" i="7"/>
  <c r="AD525" i="7"/>
  <c r="AF388" i="7"/>
  <c r="AE525" i="7"/>
  <c r="AF525" i="7"/>
  <c r="AG388" i="7"/>
  <c r="AG525" i="7"/>
  <c r="AH388" i="7"/>
  <c r="AI388" i="7"/>
  <c r="AH525" i="7"/>
  <c r="AJ388" i="7"/>
  <c r="AI525" i="7"/>
  <c r="AJ525" i="7"/>
  <c r="AK388" i="7"/>
  <c r="AK525" i="7"/>
  <c r="AL388" i="7"/>
  <c r="AL525" i="7"/>
  <c r="AM388" i="7"/>
  <c r="AM525" i="7"/>
  <c r="AN388" i="7"/>
  <c r="C411" i="7"/>
  <c r="C548" i="7"/>
  <c r="F411" i="7"/>
  <c r="E411" i="7"/>
  <c r="D411" i="7"/>
  <c r="F548" i="7"/>
  <c r="G411" i="7"/>
  <c r="D548" i="7"/>
  <c r="E548" i="7"/>
  <c r="H411" i="7"/>
  <c r="G548" i="7"/>
  <c r="H548" i="7"/>
  <c r="I411" i="7"/>
  <c r="I548" i="7"/>
  <c r="J411" i="7"/>
  <c r="J548" i="7"/>
  <c r="K411" i="7"/>
  <c r="L411" i="7"/>
  <c r="K548" i="7"/>
  <c r="L548" i="7"/>
  <c r="M411" i="7"/>
  <c r="N411" i="7"/>
  <c r="M548" i="7"/>
  <c r="O411" i="7"/>
  <c r="N548" i="7"/>
  <c r="P411" i="7"/>
  <c r="O548" i="7"/>
  <c r="Q411" i="7"/>
  <c r="P548" i="7"/>
  <c r="Q548" i="7"/>
  <c r="R411" i="7"/>
  <c r="R548" i="7"/>
  <c r="S411" i="7"/>
  <c r="S548" i="7"/>
  <c r="T411" i="7"/>
  <c r="T548" i="7"/>
  <c r="U411" i="7"/>
  <c r="U548" i="7"/>
  <c r="V411" i="7"/>
  <c r="V548" i="7"/>
  <c r="W411" i="7"/>
  <c r="X411" i="7"/>
  <c r="W548" i="7"/>
  <c r="Y411" i="7"/>
  <c r="X548" i="7"/>
  <c r="Y548" i="7"/>
  <c r="Z411" i="7"/>
  <c r="Z548" i="7"/>
  <c r="AA411" i="7"/>
  <c r="AA548" i="7"/>
  <c r="AB411" i="7"/>
  <c r="AB548" i="7"/>
  <c r="AC411" i="7"/>
  <c r="AC548" i="7"/>
  <c r="AD411" i="7"/>
  <c r="AD548" i="7"/>
  <c r="AE411" i="7"/>
  <c r="AF411" i="7"/>
  <c r="AE548" i="7"/>
  <c r="AG411" i="7"/>
  <c r="AF548" i="7"/>
  <c r="AH411" i="7"/>
  <c r="AG548" i="7"/>
  <c r="AI411" i="7"/>
  <c r="AH548" i="7"/>
  <c r="AJ411" i="7"/>
  <c r="AI548" i="7"/>
  <c r="AK411" i="7"/>
  <c r="AJ548" i="7"/>
  <c r="AK548" i="7"/>
  <c r="AL411" i="7"/>
  <c r="AM411" i="7"/>
  <c r="AL548" i="7"/>
  <c r="AM548" i="7"/>
  <c r="AN411" i="7"/>
  <c r="C419" i="7"/>
  <c r="M419" i="7"/>
  <c r="G419" i="7"/>
  <c r="D419" i="7"/>
  <c r="F419" i="7"/>
  <c r="L419" i="7"/>
  <c r="I419" i="7"/>
  <c r="J419" i="7"/>
  <c r="H419" i="7"/>
  <c r="E419" i="7"/>
  <c r="K419" i="7"/>
  <c r="J556" i="7"/>
  <c r="M556" i="7"/>
  <c r="C556" i="7"/>
  <c r="K556" i="7"/>
  <c r="I556" i="7"/>
  <c r="L556" i="7"/>
  <c r="N419" i="7"/>
  <c r="E556" i="7"/>
  <c r="F556" i="7"/>
  <c r="D556" i="7"/>
  <c r="H556" i="7"/>
  <c r="G556" i="7"/>
  <c r="O419" i="7"/>
  <c r="N556" i="7"/>
  <c r="O556" i="7"/>
  <c r="P419" i="7"/>
  <c r="P556" i="7"/>
  <c r="Q419" i="7"/>
  <c r="Q556" i="7"/>
  <c r="R419" i="7"/>
  <c r="S419" i="7"/>
  <c r="R556" i="7"/>
  <c r="T419" i="7"/>
  <c r="S556" i="7"/>
  <c r="T556" i="7"/>
  <c r="U419" i="7"/>
  <c r="U556" i="7"/>
  <c r="V419" i="7"/>
  <c r="W419" i="7"/>
  <c r="V556" i="7"/>
  <c r="W556" i="7"/>
  <c r="X419" i="7"/>
  <c r="Y419" i="7"/>
  <c r="X556" i="7"/>
  <c r="Y556" i="7"/>
  <c r="Z419" i="7"/>
  <c r="Z556" i="7"/>
  <c r="AA419" i="7"/>
  <c r="AA556" i="7"/>
  <c r="AB419" i="7"/>
  <c r="AC419" i="7"/>
  <c r="AB556" i="7"/>
  <c r="AD419" i="7"/>
  <c r="AC556" i="7"/>
  <c r="AD556" i="7"/>
  <c r="AE419" i="7"/>
  <c r="AF419" i="7"/>
  <c r="AE556" i="7"/>
  <c r="AG419" i="7"/>
  <c r="AF556" i="7"/>
  <c r="AG556" i="7"/>
  <c r="AH419" i="7"/>
  <c r="AH556" i="7"/>
  <c r="AI419" i="7"/>
  <c r="AI556" i="7"/>
  <c r="AJ419" i="7"/>
  <c r="AK419" i="7"/>
  <c r="AJ556" i="7"/>
  <c r="AL419" i="7"/>
  <c r="AK556" i="7"/>
  <c r="AM419" i="7"/>
  <c r="AL556" i="7"/>
  <c r="AM556" i="7"/>
  <c r="AN419" i="7"/>
  <c r="J442" i="7"/>
  <c r="F442" i="7"/>
  <c r="H442" i="7"/>
  <c r="D442" i="7"/>
  <c r="G442" i="7"/>
  <c r="C442" i="7"/>
  <c r="E442" i="7"/>
  <c r="I442" i="7"/>
  <c r="J579" i="7"/>
  <c r="C579" i="7"/>
  <c r="G579" i="7"/>
  <c r="F579" i="7"/>
  <c r="D579" i="7"/>
  <c r="I579" i="7"/>
  <c r="K442" i="7"/>
  <c r="E579" i="7"/>
  <c r="H579" i="7"/>
  <c r="L442" i="7"/>
  <c r="K579" i="7"/>
  <c r="L579" i="7"/>
  <c r="M442" i="7"/>
  <c r="M579" i="7"/>
  <c r="N442" i="7"/>
  <c r="O442" i="7"/>
  <c r="N579" i="7"/>
  <c r="P442" i="7"/>
  <c r="O579" i="7"/>
  <c r="P579" i="7"/>
  <c r="Q442" i="7"/>
  <c r="Q579" i="7"/>
  <c r="R442" i="7"/>
  <c r="S442" i="7"/>
  <c r="R579" i="7"/>
  <c r="T442" i="7"/>
  <c r="S579" i="7"/>
  <c r="U442" i="7"/>
  <c r="T579" i="7"/>
  <c r="V442" i="7"/>
  <c r="U579" i="7"/>
  <c r="W442" i="7"/>
  <c r="V579" i="7"/>
  <c r="X442" i="7"/>
  <c r="W579" i="7"/>
  <c r="X579" i="7"/>
  <c r="Y442" i="7"/>
  <c r="Y579" i="7"/>
  <c r="Z442" i="7"/>
  <c r="AA442" i="7"/>
  <c r="Z579" i="7"/>
  <c r="AB442" i="7"/>
  <c r="AA579" i="7"/>
  <c r="AC442" i="7"/>
  <c r="AB579" i="7"/>
  <c r="AC579" i="7"/>
  <c r="AD442" i="7"/>
  <c r="AE442" i="7"/>
  <c r="AD579" i="7"/>
  <c r="AF442" i="7"/>
  <c r="AE579" i="7"/>
  <c r="AG442" i="7"/>
  <c r="AF579" i="7"/>
  <c r="AH442" i="7"/>
  <c r="AG579" i="7"/>
  <c r="AI442" i="7"/>
  <c r="AH579" i="7"/>
  <c r="AJ442" i="7"/>
  <c r="AI579" i="7"/>
  <c r="AJ579" i="7"/>
  <c r="AK442" i="7"/>
  <c r="AL442" i="7"/>
  <c r="AK579" i="7"/>
  <c r="AM442" i="7"/>
  <c r="AL579" i="7"/>
  <c r="AM579" i="7"/>
  <c r="AN442" i="7"/>
  <c r="AO528" i="7"/>
  <c r="AO437" i="7"/>
  <c r="AN526" i="7"/>
  <c r="AN554" i="7"/>
  <c r="AO417" i="7"/>
  <c r="AO387" i="7"/>
  <c r="AO391" i="7"/>
  <c r="AO390" i="7"/>
  <c r="AN574" i="7"/>
  <c r="B348" i="7" a="1"/>
  <c r="B348" i="7" s="1"/>
  <c r="B350" i="7" a="1"/>
  <c r="B350" i="7" s="1"/>
  <c r="B352" i="7" a="1"/>
  <c r="B352" i="7" s="1"/>
  <c r="B485" i="7" a="1"/>
  <c r="B485" i="7" s="1"/>
  <c r="B487" i="7" a="1"/>
  <c r="B487" i="7" s="1"/>
  <c r="B489" i="7" a="1"/>
  <c r="B489" i="7" s="1"/>
  <c r="B349" i="7" a="1"/>
  <c r="B349" i="7" s="1"/>
  <c r="B351" i="7" a="1"/>
  <c r="B351" i="7" s="1"/>
  <c r="B484" i="7" a="1"/>
  <c r="B484" i="7" s="1"/>
  <c r="B486" i="7" a="1"/>
  <c r="B486" i="7" s="1"/>
  <c r="B488" i="7" a="1"/>
  <c r="B488" i="7" s="1"/>
  <c r="R759" i="7"/>
  <c r="S759" i="7"/>
  <c r="T759" i="7"/>
  <c r="U759" i="7"/>
  <c r="V759" i="7"/>
  <c r="AL763" i="7"/>
  <c r="AM763" i="7"/>
  <c r="AN763" i="7"/>
  <c r="AO763" i="7"/>
  <c r="W760" i="7"/>
  <c r="X760" i="7"/>
  <c r="Y760" i="7"/>
  <c r="Z760" i="7"/>
  <c r="AA760" i="7"/>
  <c r="AP763" i="7"/>
  <c r="I757" i="7"/>
  <c r="J757" i="7"/>
  <c r="K757" i="7"/>
  <c r="L757" i="7"/>
  <c r="AB761" i="7"/>
  <c r="AC761" i="7"/>
  <c r="AD761" i="7"/>
  <c r="AE761" i="7"/>
  <c r="AF761" i="7"/>
  <c r="M758" i="7"/>
  <c r="N758" i="7"/>
  <c r="O758" i="7"/>
  <c r="P758" i="7"/>
  <c r="Q758" i="7"/>
  <c r="AG762" i="7"/>
  <c r="AH762" i="7"/>
  <c r="AI762" i="7"/>
  <c r="AJ762" i="7"/>
  <c r="AK762" i="7"/>
  <c r="AP376" i="7"/>
  <c r="AP387" i="7" s="1"/>
  <c r="AP426" i="7"/>
  <c r="AP438" i="7" s="1"/>
  <c r="AP428" i="7"/>
  <c r="AP432" i="7"/>
  <c r="AP381" i="7"/>
  <c r="AP392" i="7" s="1"/>
  <c r="AP430" i="7"/>
  <c r="AP399" i="7"/>
  <c r="AP411" i="7" s="1"/>
  <c r="AP401" i="7"/>
  <c r="AP403" i="7"/>
  <c r="AP415" i="7" s="1"/>
  <c r="AP379" i="7"/>
  <c r="AP377" i="7"/>
  <c r="AP405" i="7"/>
  <c r="AP417" i="7" s="1"/>
  <c r="AP375" i="7"/>
  <c r="AP404" i="7"/>
  <c r="AP382" i="7"/>
  <c r="AP429" i="7"/>
  <c r="AP374" i="7"/>
  <c r="AP385" i="7" s="1"/>
  <c r="AP400" i="7"/>
  <c r="AP425" i="7"/>
  <c r="AP433" i="7"/>
  <c r="AP380" i="7"/>
  <c r="AP378" i="7"/>
  <c r="AP402" i="7"/>
  <c r="AP414" i="7" s="1"/>
  <c r="AP406" i="7"/>
  <c r="AP427" i="7"/>
  <c r="AP431" i="7"/>
  <c r="AP443" i="7" s="1"/>
  <c r="AP757" i="7"/>
  <c r="F757" i="7"/>
  <c r="G757" i="7"/>
  <c r="H757" i="7"/>
  <c r="L759" i="7"/>
  <c r="M759" i="7"/>
  <c r="N759" i="7"/>
  <c r="R761" i="7"/>
  <c r="S761" i="7"/>
  <c r="T761" i="7"/>
  <c r="X763" i="7"/>
  <c r="Y763" i="7"/>
  <c r="Z763" i="7"/>
  <c r="AD765" i="7"/>
  <c r="AE765" i="7"/>
  <c r="AF765" i="7"/>
  <c r="I758" i="7"/>
  <c r="J758" i="7"/>
  <c r="K758" i="7"/>
  <c r="O760" i="7"/>
  <c r="P760" i="7"/>
  <c r="Q760" i="7"/>
  <c r="U762" i="7"/>
  <c r="V762" i="7"/>
  <c r="W762" i="7"/>
  <c r="AA764" i="7"/>
  <c r="AB764" i="7"/>
  <c r="AC764" i="7"/>
  <c r="AP34" i="7"/>
  <c r="AP535" i="7"/>
  <c r="AP505" i="7"/>
  <c r="AP544" i="7"/>
  <c r="AP556" i="7" s="1"/>
  <c r="O693" i="7"/>
  <c r="P693" i="7"/>
  <c r="Q693" i="7"/>
  <c r="R693" i="7"/>
  <c r="R702" i="7" s="1"/>
  <c r="R674" i="7" s="1"/>
  <c r="S693" i="7"/>
  <c r="S702" i="7" s="1"/>
  <c r="S674" i="7" s="1"/>
  <c r="T693" i="7"/>
  <c r="T702" i="7" s="1"/>
  <c r="T674" i="7" s="1"/>
  <c r="U693" i="7"/>
  <c r="U702" i="7" s="1"/>
  <c r="U674" i="7" s="1"/>
  <c r="V693" i="7"/>
  <c r="V702" i="7" s="1"/>
  <c r="V674" i="7" s="1"/>
  <c r="W693" i="7"/>
  <c r="W702" i="7" s="1"/>
  <c r="W674" i="7" s="1"/>
  <c r="W98" i="7" s="1"/>
  <c r="X693" i="7"/>
  <c r="X702" i="7" s="1"/>
  <c r="X674" i="7" s="1"/>
  <c r="X98" i="7" s="1"/>
  <c r="Y693" i="7"/>
  <c r="Y702" i="7" s="1"/>
  <c r="Y674" i="7" s="1"/>
  <c r="Y98" i="7" s="1"/>
  <c r="Z693" i="7"/>
  <c r="Z702" i="7" s="1"/>
  <c r="Z674" i="7" s="1"/>
  <c r="Z98" i="7" s="1"/>
  <c r="AM695" i="7"/>
  <c r="AM702" i="7" s="1"/>
  <c r="AM674" i="7" s="1"/>
  <c r="AM98" i="7" s="1"/>
  <c r="AN695" i="7"/>
  <c r="AN702" i="7" s="1"/>
  <c r="AN674" i="7" s="1"/>
  <c r="AN98" i="7" s="1"/>
  <c r="AO695" i="7"/>
  <c r="AO702" i="7" s="1"/>
  <c r="AO674" i="7" s="1"/>
  <c r="AO98" i="7" s="1"/>
  <c r="R725" i="7"/>
  <c r="R734" i="7" s="1"/>
  <c r="R706" i="7" s="1"/>
  <c r="R99" i="7" s="1"/>
  <c r="S725" i="7"/>
  <c r="S734" i="7" s="1"/>
  <c r="S706" i="7" s="1"/>
  <c r="S99" i="7" s="1"/>
  <c r="T725" i="7"/>
  <c r="T734" i="7" s="1"/>
  <c r="T706" i="7" s="1"/>
  <c r="T99" i="7" s="1"/>
  <c r="U725" i="7"/>
  <c r="U734" i="7" s="1"/>
  <c r="U706" i="7" s="1"/>
  <c r="U99" i="7" s="1"/>
  <c r="V725" i="7"/>
  <c r="V734" i="7" s="1"/>
  <c r="V706" i="7" s="1"/>
  <c r="V99" i="7" s="1"/>
  <c r="W725" i="7"/>
  <c r="W734" i="7" s="1"/>
  <c r="W706" i="7" s="1"/>
  <c r="W99" i="7" s="1"/>
  <c r="X725" i="7"/>
  <c r="X734" i="7" s="1"/>
  <c r="X706" i="7" s="1"/>
  <c r="X99" i="7" s="1"/>
  <c r="Y725" i="7"/>
  <c r="Y734" i="7" s="1"/>
  <c r="Y706" i="7" s="1"/>
  <c r="Y99" i="7" s="1"/>
  <c r="Z725" i="7"/>
  <c r="Z734" i="7" s="1"/>
  <c r="Z706" i="7" s="1"/>
  <c r="Z99" i="7" s="1"/>
  <c r="AA725" i="7"/>
  <c r="AA734" i="7" s="1"/>
  <c r="AA706" i="7" s="1"/>
  <c r="AA99" i="7" s="1"/>
  <c r="AB725" i="7"/>
  <c r="AB734" i="7" s="1"/>
  <c r="AB706" i="7" s="1"/>
  <c r="AB99" i="7" s="1"/>
  <c r="AC725" i="7"/>
  <c r="AC734" i="7" s="1"/>
  <c r="AC706" i="7" s="1"/>
  <c r="AC99" i="7" s="1"/>
  <c r="AD725" i="7"/>
  <c r="AD734" i="7" s="1"/>
  <c r="AD706" i="7" s="1"/>
  <c r="AD99" i="7" s="1"/>
  <c r="AE725" i="7"/>
  <c r="AE734" i="7" s="1"/>
  <c r="AE706" i="7" s="1"/>
  <c r="AE99" i="7" s="1"/>
  <c r="AF725" i="7"/>
  <c r="AF734" i="7" s="1"/>
  <c r="AF706" i="7" s="1"/>
  <c r="AF99" i="7" s="1"/>
  <c r="W757" i="7"/>
  <c r="X757" i="7"/>
  <c r="Y757" i="7"/>
  <c r="Z757" i="7"/>
  <c r="AA757" i="7"/>
  <c r="AB757" i="7"/>
  <c r="AC757" i="7"/>
  <c r="AD757" i="7"/>
  <c r="AE757" i="7"/>
  <c r="AF757" i="7"/>
  <c r="AG757" i="7"/>
  <c r="AH757" i="7"/>
  <c r="AI757" i="7"/>
  <c r="AJ757" i="7"/>
  <c r="AK757" i="7"/>
  <c r="AL757" i="7"/>
  <c r="AM757" i="7"/>
  <c r="AN757" i="7"/>
  <c r="AO757" i="7"/>
  <c r="AP695" i="7"/>
  <c r="AP702" i="7" s="1"/>
  <c r="AP674" i="7" s="1"/>
  <c r="AP369" i="7"/>
  <c r="AP509" i="7"/>
  <c r="AP561" i="7"/>
  <c r="AP690" i="7"/>
  <c r="AP675" i="7" s="1"/>
  <c r="AP104" i="7" s="1"/>
  <c r="B680" i="7"/>
  <c r="AA694" i="7"/>
  <c r="AA702" i="7" s="1"/>
  <c r="AA674" i="7" s="1"/>
  <c r="AA98" i="7" s="1"/>
  <c r="AB694" i="7"/>
  <c r="AB702" i="7" s="1"/>
  <c r="AB674" i="7" s="1"/>
  <c r="AB98" i="7" s="1"/>
  <c r="AC694" i="7"/>
  <c r="AC702" i="7" s="1"/>
  <c r="AC674" i="7" s="1"/>
  <c r="AC98" i="7" s="1"/>
  <c r="AD694" i="7"/>
  <c r="AD702" i="7" s="1"/>
  <c r="AD674" i="7" s="1"/>
  <c r="AD98" i="7" s="1"/>
  <c r="AE694" i="7"/>
  <c r="AE702" i="7" s="1"/>
  <c r="AE674" i="7" s="1"/>
  <c r="AE98" i="7" s="1"/>
  <c r="AF694" i="7"/>
  <c r="AF702" i="7" s="1"/>
  <c r="AF674" i="7" s="1"/>
  <c r="AF98" i="7" s="1"/>
  <c r="AG694" i="7"/>
  <c r="AG702" i="7" s="1"/>
  <c r="AG674" i="7" s="1"/>
  <c r="AG98" i="7" s="1"/>
  <c r="AH694" i="7"/>
  <c r="AH702" i="7" s="1"/>
  <c r="AH674" i="7" s="1"/>
  <c r="AH98" i="7" s="1"/>
  <c r="AI694" i="7"/>
  <c r="AI702" i="7" s="1"/>
  <c r="AI674" i="7" s="1"/>
  <c r="AI98" i="7" s="1"/>
  <c r="AJ694" i="7"/>
  <c r="AJ702" i="7" s="1"/>
  <c r="AJ674" i="7" s="1"/>
  <c r="AJ98" i="7" s="1"/>
  <c r="AK694" i="7"/>
  <c r="AK702" i="7" s="1"/>
  <c r="AK674" i="7" s="1"/>
  <c r="AK98" i="7" s="1"/>
  <c r="AL694" i="7"/>
  <c r="AL702" i="7" s="1"/>
  <c r="AL674" i="7" s="1"/>
  <c r="AL98" i="7" s="1"/>
  <c r="AP722" i="7"/>
  <c r="AP707" i="7" s="1"/>
  <c r="AP105" i="7" s="1"/>
  <c r="B712" i="7"/>
  <c r="AP410" i="7" s="1"/>
  <c r="AG726" i="7"/>
  <c r="AG734" i="7" s="1"/>
  <c r="AG706" i="7" s="1"/>
  <c r="AG99" i="7" s="1"/>
  <c r="AH726" i="7"/>
  <c r="AH734" i="7" s="1"/>
  <c r="AH706" i="7" s="1"/>
  <c r="AH99" i="7" s="1"/>
  <c r="AI726" i="7"/>
  <c r="AI734" i="7" s="1"/>
  <c r="AI706" i="7" s="1"/>
  <c r="AI99" i="7" s="1"/>
  <c r="AJ726" i="7"/>
  <c r="AJ734" i="7" s="1"/>
  <c r="AJ706" i="7" s="1"/>
  <c r="AJ99" i="7" s="1"/>
  <c r="AK726" i="7"/>
  <c r="AK734" i="7" s="1"/>
  <c r="AK706" i="7" s="1"/>
  <c r="AK99" i="7" s="1"/>
  <c r="AL726" i="7"/>
  <c r="AL734" i="7" s="1"/>
  <c r="AL706" i="7" s="1"/>
  <c r="AL99" i="7" s="1"/>
  <c r="AM726" i="7"/>
  <c r="AM734" i="7" s="1"/>
  <c r="AM706" i="7" s="1"/>
  <c r="AM99" i="7" s="1"/>
  <c r="AN726" i="7"/>
  <c r="AN734" i="7" s="1"/>
  <c r="AN706" i="7" s="1"/>
  <c r="AN99" i="7" s="1"/>
  <c r="AO726" i="7"/>
  <c r="AO734" i="7" s="1"/>
  <c r="AO706" i="7" s="1"/>
  <c r="AO99" i="7" s="1"/>
  <c r="AP754" i="7"/>
  <c r="AP739" i="7" s="1"/>
  <c r="AP106" i="7" s="1"/>
  <c r="B744" i="7"/>
  <c r="AP726" i="7"/>
  <c r="C384" i="7" l="1"/>
  <c r="O692" i="7"/>
  <c r="O702" i="7" s="1"/>
  <c r="O674" i="7" s="1"/>
  <c r="O98" i="7" s="1"/>
  <c r="P692" i="7"/>
  <c r="P702" i="7" s="1"/>
  <c r="P674" i="7" s="1"/>
  <c r="P98" i="7" s="1"/>
  <c r="Q692" i="7"/>
  <c r="Q702" i="7" s="1"/>
  <c r="Q674" i="7" s="1"/>
  <c r="Q98" i="7" s="1"/>
  <c r="AO117" i="7"/>
  <c r="AP107" i="7"/>
  <c r="AP140" i="7" s="1"/>
  <c r="U98" i="7"/>
  <c r="V98" i="7"/>
  <c r="AP547" i="7"/>
  <c r="AP521" i="7"/>
  <c r="AP564" i="7"/>
  <c r="AP576" i="7" s="1"/>
  <c r="B576" i="7" s="1"/>
  <c r="AP439" i="7"/>
  <c r="B439" i="7" s="1"/>
  <c r="AP543" i="7"/>
  <c r="AP555" i="7" s="1"/>
  <c r="B555" i="7" s="1"/>
  <c r="AP418" i="7"/>
  <c r="B418" i="7" s="1"/>
  <c r="AP566" i="7"/>
  <c r="AP578" i="7" s="1"/>
  <c r="B578" i="7" s="1"/>
  <c r="AP441" i="7"/>
  <c r="B441" i="7" s="1"/>
  <c r="AP538" i="7"/>
  <c r="AP550" i="7" s="1"/>
  <c r="B550" i="7" s="1"/>
  <c r="AP413" i="7"/>
  <c r="B413" i="7" s="1"/>
  <c r="C436" i="7"/>
  <c r="D436" i="7"/>
  <c r="D446" i="7" s="1"/>
  <c r="C573" i="7"/>
  <c r="F436" i="7"/>
  <c r="F446" i="7" s="1"/>
  <c r="D573" i="7"/>
  <c r="D583" i="7" s="1"/>
  <c r="E436" i="7"/>
  <c r="E446" i="7" s="1"/>
  <c r="G436" i="7"/>
  <c r="G446" i="7" s="1"/>
  <c r="E573" i="7"/>
  <c r="E583" i="7" s="1"/>
  <c r="F573" i="7"/>
  <c r="F583" i="7" s="1"/>
  <c r="H436" i="7"/>
  <c r="H446" i="7" s="1"/>
  <c r="G573" i="7"/>
  <c r="G583" i="7" s="1"/>
  <c r="H573" i="7"/>
  <c r="H583" i="7" s="1"/>
  <c r="I436" i="7"/>
  <c r="I446" i="7" s="1"/>
  <c r="I573" i="7"/>
  <c r="I583" i="7" s="1"/>
  <c r="J436" i="7"/>
  <c r="J446" i="7" s="1"/>
  <c r="J573" i="7"/>
  <c r="J583" i="7" s="1"/>
  <c r="K436" i="7"/>
  <c r="K446" i="7" s="1"/>
  <c r="K573" i="7"/>
  <c r="K583" i="7" s="1"/>
  <c r="L436" i="7"/>
  <c r="L446" i="7" s="1"/>
  <c r="M436" i="7"/>
  <c r="M446" i="7" s="1"/>
  <c r="N436" i="7"/>
  <c r="N446" i="7" s="1"/>
  <c r="L573" i="7"/>
  <c r="L583" i="7" s="1"/>
  <c r="N573" i="7"/>
  <c r="N583" i="7" s="1"/>
  <c r="M573" i="7"/>
  <c r="M583" i="7" s="1"/>
  <c r="O436" i="7"/>
  <c r="O446" i="7" s="1"/>
  <c r="O573" i="7"/>
  <c r="O583" i="7" s="1"/>
  <c r="P436" i="7"/>
  <c r="P446" i="7" s="1"/>
  <c r="Q436" i="7"/>
  <c r="Q446" i="7" s="1"/>
  <c r="P573" i="7"/>
  <c r="P583" i="7" s="1"/>
  <c r="R436" i="7"/>
  <c r="R446" i="7" s="1"/>
  <c r="Q573" i="7"/>
  <c r="Q583" i="7" s="1"/>
  <c r="S436" i="7"/>
  <c r="S446" i="7" s="1"/>
  <c r="R573" i="7"/>
  <c r="R583" i="7" s="1"/>
  <c r="S573" i="7"/>
  <c r="S583" i="7" s="1"/>
  <c r="T436" i="7"/>
  <c r="T446" i="7" s="1"/>
  <c r="T573" i="7"/>
  <c r="T583" i="7" s="1"/>
  <c r="U436" i="7"/>
  <c r="U446" i="7" s="1"/>
  <c r="V436" i="7"/>
  <c r="V446" i="7" s="1"/>
  <c r="U573" i="7"/>
  <c r="U583" i="7" s="1"/>
  <c r="V573" i="7"/>
  <c r="V583" i="7" s="1"/>
  <c r="W436" i="7"/>
  <c r="W446" i="7" s="1"/>
  <c r="X436" i="7"/>
  <c r="X446" i="7" s="1"/>
  <c r="W573" i="7"/>
  <c r="W583" i="7" s="1"/>
  <c r="Y436" i="7"/>
  <c r="Y446" i="7" s="1"/>
  <c r="X573" i="7"/>
  <c r="X583" i="7" s="1"/>
  <c r="Y573" i="7"/>
  <c r="Y583" i="7" s="1"/>
  <c r="Z436" i="7"/>
  <c r="Z446" i="7" s="1"/>
  <c r="AA436" i="7"/>
  <c r="AA446" i="7" s="1"/>
  <c r="Z573" i="7"/>
  <c r="Z583" i="7" s="1"/>
  <c r="AA573" i="7"/>
  <c r="AA583" i="7" s="1"/>
  <c r="AB436" i="7"/>
  <c r="AB446" i="7" s="1"/>
  <c r="AC436" i="7"/>
  <c r="AC446" i="7" s="1"/>
  <c r="AB573" i="7"/>
  <c r="AB583" i="7" s="1"/>
  <c r="AD436" i="7"/>
  <c r="AD446" i="7" s="1"/>
  <c r="AC573" i="7"/>
  <c r="AC583" i="7" s="1"/>
  <c r="AD573" i="7"/>
  <c r="AD583" i="7" s="1"/>
  <c r="AE436" i="7"/>
  <c r="AE446" i="7" s="1"/>
  <c r="AF436" i="7"/>
  <c r="AF446" i="7" s="1"/>
  <c r="AE573" i="7"/>
  <c r="AE583" i="7" s="1"/>
  <c r="AG436" i="7"/>
  <c r="AG446" i="7" s="1"/>
  <c r="AF573" i="7"/>
  <c r="AF583" i="7" s="1"/>
  <c r="AH436" i="7"/>
  <c r="AH446" i="7" s="1"/>
  <c r="AG573" i="7"/>
  <c r="AG583" i="7" s="1"/>
  <c r="AH573" i="7"/>
  <c r="AH583" i="7" s="1"/>
  <c r="AI436" i="7"/>
  <c r="AI446" i="7" s="1"/>
  <c r="AI573" i="7"/>
  <c r="AI583" i="7" s="1"/>
  <c r="AJ436" i="7"/>
  <c r="AJ446" i="7" s="1"/>
  <c r="AJ573" i="7"/>
  <c r="AJ583" i="7" s="1"/>
  <c r="AK436" i="7"/>
  <c r="AK446" i="7" s="1"/>
  <c r="AL436" i="7"/>
  <c r="AL446" i="7" s="1"/>
  <c r="AK573" i="7"/>
  <c r="AK583" i="7" s="1"/>
  <c r="AL573" i="7"/>
  <c r="AL583" i="7" s="1"/>
  <c r="AM436" i="7"/>
  <c r="AM446" i="7" s="1"/>
  <c r="AM573" i="7"/>
  <c r="AM583" i="7" s="1"/>
  <c r="AN436" i="7"/>
  <c r="AN446" i="7" s="1"/>
  <c r="AN573" i="7"/>
  <c r="AN583" i="7" s="1"/>
  <c r="AO436" i="7"/>
  <c r="AO446" i="7" s="1"/>
  <c r="AP518" i="7"/>
  <c r="AP530" i="7" s="1"/>
  <c r="B530" i="7" s="1"/>
  <c r="AP393" i="7"/>
  <c r="B393" i="7" s="1"/>
  <c r="D384" i="7"/>
  <c r="C521" i="7"/>
  <c r="C531" i="7" s="1"/>
  <c r="F384" i="7"/>
  <c r="F394" i="7" s="1"/>
  <c r="D521" i="7"/>
  <c r="D531" i="7" s="1"/>
  <c r="E384" i="7"/>
  <c r="E394" i="7" s="1"/>
  <c r="F521" i="7"/>
  <c r="F531" i="7" s="1"/>
  <c r="E521" i="7"/>
  <c r="E531" i="7" s="1"/>
  <c r="G384" i="7"/>
  <c r="G394" i="7" s="1"/>
  <c r="G521" i="7"/>
  <c r="G531" i="7" s="1"/>
  <c r="H384" i="7"/>
  <c r="H394" i="7" s="1"/>
  <c r="I384" i="7"/>
  <c r="I394" i="7" s="1"/>
  <c r="H521" i="7"/>
  <c r="H531" i="7" s="1"/>
  <c r="I521" i="7"/>
  <c r="I531" i="7" s="1"/>
  <c r="J384" i="7"/>
  <c r="J394" i="7" s="1"/>
  <c r="J521" i="7"/>
  <c r="J531" i="7" s="1"/>
  <c r="K384" i="7"/>
  <c r="K394" i="7" s="1"/>
  <c r="M384" i="7"/>
  <c r="M394" i="7" s="1"/>
  <c r="L384" i="7"/>
  <c r="L394" i="7" s="1"/>
  <c r="K521" i="7"/>
  <c r="K531" i="7" s="1"/>
  <c r="N384" i="7"/>
  <c r="N394" i="7" s="1"/>
  <c r="L521" i="7"/>
  <c r="L531" i="7" s="1"/>
  <c r="M521" i="7"/>
  <c r="M531" i="7" s="1"/>
  <c r="N521" i="7"/>
  <c r="N531" i="7" s="1"/>
  <c r="O384" i="7"/>
  <c r="O394" i="7" s="1"/>
  <c r="O521" i="7"/>
  <c r="O531" i="7" s="1"/>
  <c r="P384" i="7"/>
  <c r="P394" i="7" s="1"/>
  <c r="Q384" i="7"/>
  <c r="Q394" i="7" s="1"/>
  <c r="P521" i="7"/>
  <c r="P531" i="7" s="1"/>
  <c r="R384" i="7"/>
  <c r="R394" i="7" s="1"/>
  <c r="Q521" i="7"/>
  <c r="Q531" i="7" s="1"/>
  <c r="S384" i="7"/>
  <c r="S394" i="7" s="1"/>
  <c r="R521" i="7"/>
  <c r="R531" i="7" s="1"/>
  <c r="S521" i="7"/>
  <c r="S531" i="7" s="1"/>
  <c r="T384" i="7"/>
  <c r="T394" i="7" s="1"/>
  <c r="U384" i="7"/>
  <c r="U394" i="7" s="1"/>
  <c r="T521" i="7"/>
  <c r="T531" i="7" s="1"/>
  <c r="V384" i="7"/>
  <c r="V394" i="7" s="1"/>
  <c r="U521" i="7"/>
  <c r="U531" i="7" s="1"/>
  <c r="W384" i="7"/>
  <c r="W394" i="7" s="1"/>
  <c r="V521" i="7"/>
  <c r="V531" i="7" s="1"/>
  <c r="X384" i="7"/>
  <c r="X394" i="7" s="1"/>
  <c r="W521" i="7"/>
  <c r="W531" i="7" s="1"/>
  <c r="X521" i="7"/>
  <c r="X531" i="7" s="1"/>
  <c r="Y384" i="7"/>
  <c r="Y394" i="7" s="1"/>
  <c r="Z384" i="7"/>
  <c r="Z394" i="7" s="1"/>
  <c r="Y521" i="7"/>
  <c r="Y531" i="7" s="1"/>
  <c r="AA384" i="7"/>
  <c r="AA394" i="7" s="1"/>
  <c r="AB384" i="7"/>
  <c r="AB394" i="7" s="1"/>
  <c r="Z521" i="7"/>
  <c r="Z531" i="7" s="1"/>
  <c r="AC384" i="7"/>
  <c r="AC394" i="7" s="1"/>
  <c r="AA521" i="7"/>
  <c r="AA531" i="7" s="1"/>
  <c r="AB521" i="7"/>
  <c r="AB531" i="7" s="1"/>
  <c r="AC521" i="7"/>
  <c r="AC531" i="7" s="1"/>
  <c r="AD384" i="7"/>
  <c r="AD394" i="7" s="1"/>
  <c r="AE384" i="7"/>
  <c r="AE394" i="7" s="1"/>
  <c r="AD521" i="7"/>
  <c r="AD531" i="7" s="1"/>
  <c r="AF384" i="7"/>
  <c r="AF394" i="7" s="1"/>
  <c r="AE521" i="7"/>
  <c r="AE531" i="7" s="1"/>
  <c r="AG384" i="7"/>
  <c r="AG394" i="7" s="1"/>
  <c r="AF521" i="7"/>
  <c r="AF531" i="7" s="1"/>
  <c r="AG521" i="7"/>
  <c r="AG531" i="7" s="1"/>
  <c r="AH384" i="7"/>
  <c r="AH394" i="7" s="1"/>
  <c r="AI384" i="7"/>
  <c r="AI394" i="7" s="1"/>
  <c r="AH521" i="7"/>
  <c r="AH531" i="7" s="1"/>
  <c r="AJ384" i="7"/>
  <c r="AJ394" i="7" s="1"/>
  <c r="AI521" i="7"/>
  <c r="AI531" i="7" s="1"/>
  <c r="AJ521" i="7"/>
  <c r="AJ531" i="7" s="1"/>
  <c r="AK384" i="7"/>
  <c r="AK394" i="7" s="1"/>
  <c r="AK521" i="7"/>
  <c r="AK531" i="7" s="1"/>
  <c r="AL384" i="7"/>
  <c r="AL394" i="7" s="1"/>
  <c r="AL521" i="7"/>
  <c r="AL531" i="7" s="1"/>
  <c r="AM384" i="7"/>
  <c r="AM394" i="7" s="1"/>
  <c r="AM521" i="7"/>
  <c r="AM531" i="7" s="1"/>
  <c r="AN384" i="7"/>
  <c r="AN394" i="7" s="1"/>
  <c r="AO384" i="7"/>
  <c r="AO394" i="7" s="1"/>
  <c r="AN521" i="7"/>
  <c r="AN531" i="7" s="1"/>
  <c r="AM766" i="7"/>
  <c r="AM738" i="7" s="1"/>
  <c r="AM100" i="7" s="1"/>
  <c r="AP514" i="7"/>
  <c r="AP526" i="7" s="1"/>
  <c r="B526" i="7" s="1"/>
  <c r="AP389" i="7"/>
  <c r="B389" i="7" s="1"/>
  <c r="AP541" i="7"/>
  <c r="AP553" i="7" s="1"/>
  <c r="B553" i="7" s="1"/>
  <c r="AP416" i="7"/>
  <c r="AP567" i="7"/>
  <c r="AP579" i="7" s="1"/>
  <c r="B579" i="7" s="1"/>
  <c r="AP442" i="7"/>
  <c r="B442" i="7" s="1"/>
  <c r="AO573" i="7"/>
  <c r="AO583" i="7" s="1"/>
  <c r="AP436" i="7"/>
  <c r="AP511" i="7"/>
  <c r="AP523" i="7" s="1"/>
  <c r="B523" i="7" s="1"/>
  <c r="AP386" i="7"/>
  <c r="B386" i="7" s="1"/>
  <c r="C410" i="7"/>
  <c r="D410" i="7"/>
  <c r="D420" i="7" s="1"/>
  <c r="F410" i="7"/>
  <c r="F420" i="7" s="1"/>
  <c r="C547" i="7"/>
  <c r="D547" i="7"/>
  <c r="D557" i="7" s="1"/>
  <c r="E410" i="7"/>
  <c r="E420" i="7" s="1"/>
  <c r="F547" i="7"/>
  <c r="F557" i="7" s="1"/>
  <c r="G410" i="7"/>
  <c r="G420" i="7" s="1"/>
  <c r="H410" i="7"/>
  <c r="H420" i="7" s="1"/>
  <c r="G547" i="7"/>
  <c r="G557" i="7" s="1"/>
  <c r="E547" i="7"/>
  <c r="E557" i="7" s="1"/>
  <c r="I410" i="7"/>
  <c r="I420" i="7" s="1"/>
  <c r="H547" i="7"/>
  <c r="H557" i="7" s="1"/>
  <c r="I547" i="7"/>
  <c r="I557" i="7" s="1"/>
  <c r="J410" i="7"/>
  <c r="J420" i="7" s="1"/>
  <c r="K410" i="7"/>
  <c r="K420" i="7" s="1"/>
  <c r="J547" i="7"/>
  <c r="J557" i="7" s="1"/>
  <c r="K547" i="7"/>
  <c r="K557" i="7" s="1"/>
  <c r="L410" i="7"/>
  <c r="L420" i="7" s="1"/>
  <c r="L547" i="7"/>
  <c r="L557" i="7" s="1"/>
  <c r="M410" i="7"/>
  <c r="M420" i="7" s="1"/>
  <c r="M547" i="7"/>
  <c r="M557" i="7" s="1"/>
  <c r="N410" i="7"/>
  <c r="N420" i="7" s="1"/>
  <c r="N547" i="7"/>
  <c r="N557" i="7" s="1"/>
  <c r="O410" i="7"/>
  <c r="O420" i="7" s="1"/>
  <c r="P410" i="7"/>
  <c r="P420" i="7" s="1"/>
  <c r="O547" i="7"/>
  <c r="O557" i="7" s="1"/>
  <c r="P547" i="7"/>
  <c r="P557" i="7" s="1"/>
  <c r="Q410" i="7"/>
  <c r="Q420" i="7" s="1"/>
  <c r="R410" i="7"/>
  <c r="R420" i="7" s="1"/>
  <c r="Q547" i="7"/>
  <c r="Q557" i="7" s="1"/>
  <c r="S410" i="7"/>
  <c r="S420" i="7" s="1"/>
  <c r="R547" i="7"/>
  <c r="R557" i="7" s="1"/>
  <c r="S547" i="7"/>
  <c r="S557" i="7" s="1"/>
  <c r="T410" i="7"/>
  <c r="T420" i="7" s="1"/>
  <c r="T547" i="7"/>
  <c r="T557" i="7" s="1"/>
  <c r="U410" i="7"/>
  <c r="U420" i="7" s="1"/>
  <c r="U547" i="7"/>
  <c r="U557" i="7" s="1"/>
  <c r="V410" i="7"/>
  <c r="V420" i="7" s="1"/>
  <c r="V547" i="7"/>
  <c r="V557" i="7" s="1"/>
  <c r="W410" i="7"/>
  <c r="W420" i="7" s="1"/>
  <c r="W547" i="7"/>
  <c r="W557" i="7" s="1"/>
  <c r="X410" i="7"/>
  <c r="X420" i="7" s="1"/>
  <c r="X547" i="7"/>
  <c r="X557" i="7" s="1"/>
  <c r="Y410" i="7"/>
  <c r="Y420" i="7" s="1"/>
  <c r="Y547" i="7"/>
  <c r="Y557" i="7" s="1"/>
  <c r="Z410" i="7"/>
  <c r="Z420" i="7" s="1"/>
  <c r="Z547" i="7"/>
  <c r="Z557" i="7" s="1"/>
  <c r="AA410" i="7"/>
  <c r="AA420" i="7" s="1"/>
  <c r="AB410" i="7"/>
  <c r="AB420" i="7" s="1"/>
  <c r="AA547" i="7"/>
  <c r="AA557" i="7" s="1"/>
  <c r="AC410" i="7"/>
  <c r="AC420" i="7" s="1"/>
  <c r="AB547" i="7"/>
  <c r="AB557" i="7" s="1"/>
  <c r="AC547" i="7"/>
  <c r="AC557" i="7" s="1"/>
  <c r="AD410" i="7"/>
  <c r="AD420" i="7" s="1"/>
  <c r="AE410" i="7"/>
  <c r="AE420" i="7" s="1"/>
  <c r="AD547" i="7"/>
  <c r="AD557" i="7" s="1"/>
  <c r="AF410" i="7"/>
  <c r="AF420" i="7" s="1"/>
  <c r="AE547" i="7"/>
  <c r="AE557" i="7" s="1"/>
  <c r="AG410" i="7"/>
  <c r="AG420" i="7" s="1"/>
  <c r="AF547" i="7"/>
  <c r="AF557" i="7" s="1"/>
  <c r="AG547" i="7"/>
  <c r="AG557" i="7" s="1"/>
  <c r="AH410" i="7"/>
  <c r="AH420" i="7" s="1"/>
  <c r="AH547" i="7"/>
  <c r="AH557" i="7" s="1"/>
  <c r="AI410" i="7"/>
  <c r="AI420" i="7" s="1"/>
  <c r="AJ410" i="7"/>
  <c r="AJ420" i="7" s="1"/>
  <c r="AI547" i="7"/>
  <c r="AI557" i="7" s="1"/>
  <c r="AK410" i="7"/>
  <c r="AK420" i="7" s="1"/>
  <c r="AJ547" i="7"/>
  <c r="AJ557" i="7" s="1"/>
  <c r="AK547" i="7"/>
  <c r="AK557" i="7" s="1"/>
  <c r="AL410" i="7"/>
  <c r="AL420" i="7" s="1"/>
  <c r="AM410" i="7"/>
  <c r="AM420" i="7" s="1"/>
  <c r="AL547" i="7"/>
  <c r="AL557" i="7" s="1"/>
  <c r="AM547" i="7"/>
  <c r="AM557" i="7" s="1"/>
  <c r="AN410" i="7"/>
  <c r="AN420" i="7" s="1"/>
  <c r="AO410" i="7"/>
  <c r="AO420" i="7" s="1"/>
  <c r="AN547" i="7"/>
  <c r="AN557" i="7" s="1"/>
  <c r="AP573" i="7"/>
  <c r="AP570" i="7"/>
  <c r="AP582" i="7" s="1"/>
  <c r="B582" i="7" s="1"/>
  <c r="AP445" i="7"/>
  <c r="B445" i="7" s="1"/>
  <c r="AP569" i="7"/>
  <c r="AP581" i="7" s="1"/>
  <c r="B581" i="7" s="1"/>
  <c r="AP444" i="7"/>
  <c r="B444" i="7" s="1"/>
  <c r="AP384" i="7"/>
  <c r="AP562" i="7"/>
  <c r="AP574" i="7" s="1"/>
  <c r="B574" i="7" s="1"/>
  <c r="AP437" i="7"/>
  <c r="B437" i="7" s="1"/>
  <c r="AP513" i="7"/>
  <c r="AP525" i="7" s="1"/>
  <c r="B525" i="7" s="1"/>
  <c r="AP388" i="7"/>
  <c r="B388" i="7" s="1"/>
  <c r="AP565" i="7"/>
  <c r="AP577" i="7" s="1"/>
  <c r="B577" i="7" s="1"/>
  <c r="AP440" i="7"/>
  <c r="B440" i="7" s="1"/>
  <c r="AO547" i="7"/>
  <c r="AO557" i="7" s="1"/>
  <c r="AP516" i="7"/>
  <c r="AP528" i="7" s="1"/>
  <c r="B528" i="7" s="1"/>
  <c r="AP391" i="7"/>
  <c r="B391" i="7" s="1"/>
  <c r="AP537" i="7"/>
  <c r="AP549" i="7" s="1"/>
  <c r="B549" i="7" s="1"/>
  <c r="AP412" i="7"/>
  <c r="B412" i="7" s="1"/>
  <c r="AP515" i="7"/>
  <c r="AP527" i="7" s="1"/>
  <c r="B527" i="7" s="1"/>
  <c r="AP390" i="7"/>
  <c r="AO521" i="7"/>
  <c r="AO531" i="7" s="1"/>
  <c r="AO766" i="7"/>
  <c r="AO738" i="7" s="1"/>
  <c r="AO100" i="7" s="1"/>
  <c r="T98" i="7"/>
  <c r="S98" i="7"/>
  <c r="R98" i="7"/>
  <c r="AP542" i="7"/>
  <c r="AP554" i="7" s="1"/>
  <c r="B554" i="7" s="1"/>
  <c r="AP517" i="7"/>
  <c r="AP529" i="7" s="1"/>
  <c r="B529" i="7" s="1"/>
  <c r="AP512" i="7"/>
  <c r="AP766" i="7"/>
  <c r="AP738" i="7" s="1"/>
  <c r="AP100" i="7" s="1"/>
  <c r="AJ766" i="7"/>
  <c r="AJ738" i="7" s="1"/>
  <c r="AJ100" i="7" s="1"/>
  <c r="AH766" i="7"/>
  <c r="AH738" i="7" s="1"/>
  <c r="AH100" i="7" s="1"/>
  <c r="AK766" i="7"/>
  <c r="AK738" i="7" s="1"/>
  <c r="AK100" i="7" s="1"/>
  <c r="AL766" i="7"/>
  <c r="AL738" i="7" s="1"/>
  <c r="AL100" i="7" s="1"/>
  <c r="AG766" i="7"/>
  <c r="AG738" i="7" s="1"/>
  <c r="AG100" i="7" s="1"/>
  <c r="AA766" i="7"/>
  <c r="AA738" i="7" s="1"/>
  <c r="AA100" i="7" s="1"/>
  <c r="AN766" i="7"/>
  <c r="AN738" i="7" s="1"/>
  <c r="AN100" i="7" s="1"/>
  <c r="AI766" i="7"/>
  <c r="AI738" i="7" s="1"/>
  <c r="AI100" i="7" s="1"/>
  <c r="AP563" i="7"/>
  <c r="AF766" i="7"/>
  <c r="AF738" i="7" s="1"/>
  <c r="AF100" i="7" s="1"/>
  <c r="AC766" i="7"/>
  <c r="AC738" i="7" s="1"/>
  <c r="AC100" i="7" s="1"/>
  <c r="Z766" i="7"/>
  <c r="Z738" i="7" s="1"/>
  <c r="Z100" i="7" s="1"/>
  <c r="W766" i="7"/>
  <c r="W738" i="7" s="1"/>
  <c r="W100" i="7" s="1"/>
  <c r="AP540" i="7"/>
  <c r="AP536" i="7"/>
  <c r="AP568" i="7"/>
  <c r="X766" i="7"/>
  <c r="X738" i="7" s="1"/>
  <c r="X100" i="7" s="1"/>
  <c r="AD766" i="7"/>
  <c r="AD738" i="7" s="1"/>
  <c r="AD100" i="7" s="1"/>
  <c r="AP510" i="7"/>
  <c r="AB766" i="7"/>
  <c r="AB738" i="7" s="1"/>
  <c r="AB100" i="7" s="1"/>
  <c r="AP539" i="7"/>
  <c r="AE766" i="7"/>
  <c r="AE738" i="7" s="1"/>
  <c r="AE100" i="7" s="1"/>
  <c r="Y766" i="7"/>
  <c r="Y738" i="7" s="1"/>
  <c r="Y100" i="7" s="1"/>
  <c r="B761" i="7"/>
  <c r="B693" i="7"/>
  <c r="B760" i="7"/>
  <c r="B765" i="7"/>
  <c r="B764" i="7"/>
  <c r="B758" i="7"/>
  <c r="B763" i="7"/>
  <c r="B759" i="7"/>
  <c r="B762" i="7"/>
  <c r="B757" i="7"/>
  <c r="B694" i="7"/>
  <c r="B725" i="7"/>
  <c r="B726" i="7"/>
  <c r="AP98" i="7"/>
  <c r="B695" i="7"/>
  <c r="D756" i="7"/>
  <c r="D766" i="7" s="1"/>
  <c r="D738" i="7" s="1"/>
  <c r="D100" i="7" s="1"/>
  <c r="C756" i="7"/>
  <c r="E756" i="7"/>
  <c r="E766" i="7" s="1"/>
  <c r="E738" i="7" s="1"/>
  <c r="E100" i="7" s="1"/>
  <c r="F756" i="7"/>
  <c r="F766" i="7" s="1"/>
  <c r="F738" i="7" s="1"/>
  <c r="F100" i="7" s="1"/>
  <c r="G756" i="7"/>
  <c r="G766" i="7" s="1"/>
  <c r="G738" i="7" s="1"/>
  <c r="G100" i="7" s="1"/>
  <c r="H756" i="7"/>
  <c r="H766" i="7" s="1"/>
  <c r="H738" i="7" s="1"/>
  <c r="H100" i="7" s="1"/>
  <c r="I756" i="7"/>
  <c r="I766" i="7" s="1"/>
  <c r="I738" i="7" s="1"/>
  <c r="I100" i="7" s="1"/>
  <c r="J756" i="7"/>
  <c r="J766" i="7" s="1"/>
  <c r="J738" i="7" s="1"/>
  <c r="J100" i="7" s="1"/>
  <c r="K756" i="7"/>
  <c r="K766" i="7" s="1"/>
  <c r="K738" i="7" s="1"/>
  <c r="K100" i="7" s="1"/>
  <c r="L756" i="7"/>
  <c r="L766" i="7" s="1"/>
  <c r="L738" i="7" s="1"/>
  <c r="L100" i="7" s="1"/>
  <c r="M756" i="7"/>
  <c r="M766" i="7" s="1"/>
  <c r="M738" i="7" s="1"/>
  <c r="M100" i="7" s="1"/>
  <c r="N756" i="7"/>
  <c r="N766" i="7" s="1"/>
  <c r="N738" i="7" s="1"/>
  <c r="N100" i="7" s="1"/>
  <c r="O756" i="7"/>
  <c r="O766" i="7" s="1"/>
  <c r="O738" i="7" s="1"/>
  <c r="O100" i="7" s="1"/>
  <c r="P756" i="7"/>
  <c r="P766" i="7" s="1"/>
  <c r="P738" i="7" s="1"/>
  <c r="P100" i="7" s="1"/>
  <c r="Q756" i="7"/>
  <c r="Q766" i="7" s="1"/>
  <c r="Q738" i="7" s="1"/>
  <c r="Q100" i="7" s="1"/>
  <c r="R756" i="7"/>
  <c r="R766" i="7" s="1"/>
  <c r="R738" i="7" s="1"/>
  <c r="R100" i="7" s="1"/>
  <c r="S756" i="7"/>
  <c r="S766" i="7" s="1"/>
  <c r="S738" i="7" s="1"/>
  <c r="S100" i="7" s="1"/>
  <c r="T756" i="7"/>
  <c r="T766" i="7" s="1"/>
  <c r="T738" i="7" s="1"/>
  <c r="T100" i="7" s="1"/>
  <c r="U756" i="7"/>
  <c r="U766" i="7" s="1"/>
  <c r="U738" i="7" s="1"/>
  <c r="U100" i="7" s="1"/>
  <c r="V756" i="7"/>
  <c r="V766" i="7" s="1"/>
  <c r="V738" i="7" s="1"/>
  <c r="V100" i="7" s="1"/>
  <c r="AP734" i="7"/>
  <c r="AP706" i="7" s="1"/>
  <c r="AP99" i="7" s="1"/>
  <c r="B438" i="7"/>
  <c r="B392" i="7"/>
  <c r="B419" i="7"/>
  <c r="B556" i="7"/>
  <c r="B417" i="7"/>
  <c r="B411" i="7"/>
  <c r="D724" i="7"/>
  <c r="D734" i="7" s="1"/>
  <c r="D706" i="7" s="1"/>
  <c r="D99" i="7" s="1"/>
  <c r="C724" i="7"/>
  <c r="E724" i="7"/>
  <c r="E734" i="7" s="1"/>
  <c r="E706" i="7" s="1"/>
  <c r="E99" i="7" s="1"/>
  <c r="F724" i="7"/>
  <c r="F734" i="7" s="1"/>
  <c r="F706" i="7" s="1"/>
  <c r="F99" i="7" s="1"/>
  <c r="G724" i="7"/>
  <c r="G734" i="7" s="1"/>
  <c r="G706" i="7" s="1"/>
  <c r="G99" i="7" s="1"/>
  <c r="H724" i="7"/>
  <c r="H734" i="7" s="1"/>
  <c r="H706" i="7" s="1"/>
  <c r="H99" i="7" s="1"/>
  <c r="I724" i="7"/>
  <c r="I734" i="7" s="1"/>
  <c r="I706" i="7" s="1"/>
  <c r="I99" i="7" s="1"/>
  <c r="J724" i="7"/>
  <c r="J734" i="7" s="1"/>
  <c r="J706" i="7" s="1"/>
  <c r="J99" i="7" s="1"/>
  <c r="K724" i="7"/>
  <c r="K734" i="7" s="1"/>
  <c r="K706" i="7" s="1"/>
  <c r="K99" i="7" s="1"/>
  <c r="L724" i="7"/>
  <c r="L734" i="7" s="1"/>
  <c r="L706" i="7" s="1"/>
  <c r="L99" i="7" s="1"/>
  <c r="M724" i="7"/>
  <c r="M734" i="7" s="1"/>
  <c r="M706" i="7" s="1"/>
  <c r="N724" i="7"/>
  <c r="N734" i="7" s="1"/>
  <c r="N706" i="7" s="1"/>
  <c r="O724" i="7"/>
  <c r="O734" i="7" s="1"/>
  <c r="O706" i="7" s="1"/>
  <c r="P724" i="7"/>
  <c r="P734" i="7" s="1"/>
  <c r="P706" i="7" s="1"/>
  <c r="Q724" i="7"/>
  <c r="Q734" i="7" s="1"/>
  <c r="Q706" i="7" s="1"/>
  <c r="D692" i="7"/>
  <c r="D702" i="7" s="1"/>
  <c r="D674" i="7" s="1"/>
  <c r="C692" i="7"/>
  <c r="E692" i="7"/>
  <c r="E702" i="7" s="1"/>
  <c r="E674" i="7" s="1"/>
  <c r="F692" i="7"/>
  <c r="F702" i="7" s="1"/>
  <c r="F674" i="7" s="1"/>
  <c r="G692" i="7"/>
  <c r="G702" i="7" s="1"/>
  <c r="G674" i="7" s="1"/>
  <c r="H692" i="7"/>
  <c r="H702" i="7" s="1"/>
  <c r="H674" i="7" s="1"/>
  <c r="I692" i="7"/>
  <c r="I702" i="7" s="1"/>
  <c r="I674" i="7" s="1"/>
  <c r="J692" i="7"/>
  <c r="J702" i="7" s="1"/>
  <c r="J674" i="7" s="1"/>
  <c r="K692" i="7"/>
  <c r="K702" i="7" s="1"/>
  <c r="K674" i="7" s="1"/>
  <c r="L692" i="7"/>
  <c r="L702" i="7" s="1"/>
  <c r="L674" i="7" s="1"/>
  <c r="M692" i="7"/>
  <c r="M702" i="7" s="1"/>
  <c r="M674" i="7" s="1"/>
  <c r="N692" i="7"/>
  <c r="N702" i="7" s="1"/>
  <c r="N674" i="7" s="1"/>
  <c r="B414" i="7"/>
  <c r="B443" i="7"/>
  <c r="B415" i="7"/>
  <c r="B387" i="7"/>
  <c r="B385" i="7"/>
  <c r="D394" i="7" l="1"/>
  <c r="B384" i="7"/>
  <c r="AP551" i="7"/>
  <c r="B551" i="7" s="1"/>
  <c r="AP552" i="7"/>
  <c r="B552" i="7" s="1"/>
  <c r="AP524" i="7"/>
  <c r="B524" i="7" s="1"/>
  <c r="AP580" i="7"/>
  <c r="B580" i="7" s="1"/>
  <c r="AP575" i="7"/>
  <c r="B575" i="7" s="1"/>
  <c r="AP548" i="7"/>
  <c r="B548" i="7" s="1"/>
  <c r="AP522" i="7"/>
  <c r="B522" i="7" s="1"/>
  <c r="AP420" i="7"/>
  <c r="AP446" i="7"/>
  <c r="B416" i="7"/>
  <c r="AP394" i="7"/>
  <c r="B390" i="7"/>
  <c r="N98" i="7"/>
  <c r="M98" i="7"/>
  <c r="P99" i="7"/>
  <c r="N99" i="7"/>
  <c r="Q99" i="7"/>
  <c r="O99" i="7"/>
  <c r="M99" i="7"/>
  <c r="K98" i="7"/>
  <c r="I98" i="7"/>
  <c r="G98" i="7"/>
  <c r="E98" i="7"/>
  <c r="D98" i="7"/>
  <c r="L98" i="7"/>
  <c r="J98" i="7"/>
  <c r="H98" i="7"/>
  <c r="F98" i="7"/>
  <c r="B692" i="7"/>
  <c r="C702" i="7"/>
  <c r="C674" i="7" s="1"/>
  <c r="B547" i="7"/>
  <c r="C557" i="7"/>
  <c r="B724" i="7"/>
  <c r="C734" i="7"/>
  <c r="C706" i="7" s="1"/>
  <c r="C766" i="7"/>
  <c r="C738" i="7" s="1"/>
  <c r="B756" i="7"/>
  <c r="C394" i="7"/>
  <c r="B521" i="7"/>
  <c r="C420" i="7"/>
  <c r="B410" i="7"/>
  <c r="C446" i="7"/>
  <c r="B436" i="7"/>
  <c r="B573" i="7"/>
  <c r="C583" i="7"/>
  <c r="AP557" i="7" l="1"/>
  <c r="AP531" i="7"/>
  <c r="AP583" i="7"/>
  <c r="C100" i="7"/>
  <c r="C740" i="7"/>
  <c r="D737" i="7" s="1"/>
  <c r="D740" i="7" s="1"/>
  <c r="E737" i="7" s="1"/>
  <c r="E740" i="7" s="1"/>
  <c r="F737" i="7" s="1"/>
  <c r="F740" i="7" s="1"/>
  <c r="G737" i="7" s="1"/>
  <c r="G740" i="7" s="1"/>
  <c r="H737" i="7" s="1"/>
  <c r="H740" i="7" s="1"/>
  <c r="I737" i="7" s="1"/>
  <c r="I740" i="7" s="1"/>
  <c r="J737" i="7" s="1"/>
  <c r="J740" i="7" s="1"/>
  <c r="K737" i="7" s="1"/>
  <c r="K740" i="7" s="1"/>
  <c r="L737" i="7" s="1"/>
  <c r="L740" i="7" s="1"/>
  <c r="M737" i="7" s="1"/>
  <c r="M740" i="7" s="1"/>
  <c r="N737" i="7" s="1"/>
  <c r="N740" i="7" s="1"/>
  <c r="O737" i="7" s="1"/>
  <c r="O740" i="7" s="1"/>
  <c r="P737" i="7" s="1"/>
  <c r="P740" i="7" s="1"/>
  <c r="Q737" i="7" s="1"/>
  <c r="Q740" i="7" s="1"/>
  <c r="R737" i="7" s="1"/>
  <c r="R740" i="7" s="1"/>
  <c r="S737" i="7" s="1"/>
  <c r="S740" i="7" s="1"/>
  <c r="T737" i="7" s="1"/>
  <c r="T740" i="7" s="1"/>
  <c r="U737" i="7" s="1"/>
  <c r="U740" i="7" s="1"/>
  <c r="V737" i="7" s="1"/>
  <c r="V740" i="7" s="1"/>
  <c r="W737" i="7" s="1"/>
  <c r="W740" i="7" s="1"/>
  <c r="X737" i="7" s="1"/>
  <c r="X740" i="7" s="1"/>
  <c r="Y737" i="7" s="1"/>
  <c r="Y740" i="7" s="1"/>
  <c r="Z737" i="7" s="1"/>
  <c r="Z740" i="7" s="1"/>
  <c r="AA737" i="7" s="1"/>
  <c r="AA740" i="7" s="1"/>
  <c r="AB737" i="7" s="1"/>
  <c r="AB740" i="7" s="1"/>
  <c r="AC737" i="7" s="1"/>
  <c r="AC740" i="7" s="1"/>
  <c r="AD737" i="7" s="1"/>
  <c r="AD740" i="7" s="1"/>
  <c r="AE737" i="7" s="1"/>
  <c r="AE740" i="7" s="1"/>
  <c r="AF737" i="7" s="1"/>
  <c r="AF740" i="7" s="1"/>
  <c r="AG737" i="7" s="1"/>
  <c r="AG740" i="7" s="1"/>
  <c r="AH737" i="7" s="1"/>
  <c r="AH740" i="7" s="1"/>
  <c r="AI737" i="7" s="1"/>
  <c r="AI740" i="7" s="1"/>
  <c r="AJ737" i="7" s="1"/>
  <c r="AJ740" i="7" s="1"/>
  <c r="AK737" i="7" s="1"/>
  <c r="AK740" i="7" s="1"/>
  <c r="AL737" i="7" s="1"/>
  <c r="AL740" i="7" s="1"/>
  <c r="AM737" i="7" s="1"/>
  <c r="AM740" i="7" s="1"/>
  <c r="AN737" i="7" s="1"/>
  <c r="AN740" i="7" s="1"/>
  <c r="AO737" i="7" s="1"/>
  <c r="AO740" i="7" s="1"/>
  <c r="AP737" i="7" s="1"/>
  <c r="AP740" i="7" s="1"/>
  <c r="C99" i="7"/>
  <c r="C708" i="7"/>
  <c r="D705" i="7" s="1"/>
  <c r="D708" i="7" s="1"/>
  <c r="E705" i="7" s="1"/>
  <c r="E708" i="7" s="1"/>
  <c r="F705" i="7" s="1"/>
  <c r="F708" i="7" s="1"/>
  <c r="G705" i="7" s="1"/>
  <c r="G708" i="7" s="1"/>
  <c r="H705" i="7" s="1"/>
  <c r="H708" i="7" s="1"/>
  <c r="I705" i="7" s="1"/>
  <c r="I708" i="7" s="1"/>
  <c r="J705" i="7" s="1"/>
  <c r="J708" i="7" s="1"/>
  <c r="K705" i="7" s="1"/>
  <c r="K708" i="7" s="1"/>
  <c r="L705" i="7" s="1"/>
  <c r="L708" i="7" s="1"/>
  <c r="M705" i="7" s="1"/>
  <c r="M708" i="7" s="1"/>
  <c r="N705" i="7" s="1"/>
  <c r="N708" i="7" s="1"/>
  <c r="O705" i="7" s="1"/>
  <c r="O708" i="7" s="1"/>
  <c r="P705" i="7" s="1"/>
  <c r="P708" i="7" s="1"/>
  <c r="Q705" i="7" s="1"/>
  <c r="Q708" i="7" s="1"/>
  <c r="R705" i="7" s="1"/>
  <c r="R708" i="7" s="1"/>
  <c r="S705" i="7" s="1"/>
  <c r="S708" i="7" s="1"/>
  <c r="T705" i="7" s="1"/>
  <c r="T708" i="7" s="1"/>
  <c r="U705" i="7" s="1"/>
  <c r="U708" i="7" s="1"/>
  <c r="V705" i="7" s="1"/>
  <c r="V708" i="7" s="1"/>
  <c r="W705" i="7" s="1"/>
  <c r="W708" i="7" s="1"/>
  <c r="X705" i="7" s="1"/>
  <c r="X708" i="7" s="1"/>
  <c r="Y705" i="7" s="1"/>
  <c r="Y708" i="7" s="1"/>
  <c r="Z705" i="7" s="1"/>
  <c r="Z708" i="7" s="1"/>
  <c r="AA705" i="7" s="1"/>
  <c r="AA708" i="7" s="1"/>
  <c r="AB705" i="7" s="1"/>
  <c r="AB708" i="7" s="1"/>
  <c r="AC705" i="7" s="1"/>
  <c r="AC708" i="7" s="1"/>
  <c r="AD705" i="7" s="1"/>
  <c r="AD708" i="7" s="1"/>
  <c r="AE705" i="7" s="1"/>
  <c r="AE708" i="7" s="1"/>
  <c r="AF705" i="7" s="1"/>
  <c r="AF708" i="7" s="1"/>
  <c r="AG705" i="7" s="1"/>
  <c r="AG708" i="7" s="1"/>
  <c r="AH705" i="7" s="1"/>
  <c r="AH708" i="7" s="1"/>
  <c r="AI705" i="7" s="1"/>
  <c r="AI708" i="7" s="1"/>
  <c r="AJ705" i="7" s="1"/>
  <c r="AJ708" i="7" s="1"/>
  <c r="AK705" i="7" s="1"/>
  <c r="AK708" i="7" s="1"/>
  <c r="AL705" i="7" s="1"/>
  <c r="AL708" i="7" s="1"/>
  <c r="AM705" i="7" s="1"/>
  <c r="AM708" i="7" s="1"/>
  <c r="AN705" i="7" s="1"/>
  <c r="AN708" i="7" s="1"/>
  <c r="AO705" i="7" s="1"/>
  <c r="AO708" i="7" s="1"/>
  <c r="AP705" i="7" s="1"/>
  <c r="AP708" i="7" s="1"/>
  <c r="C98" i="7"/>
  <c r="C676" i="7"/>
  <c r="D673" i="7" s="1"/>
  <c r="D676" i="7" s="1"/>
  <c r="E673" i="7" s="1"/>
  <c r="E676" i="7" s="1"/>
  <c r="F673" i="7" s="1"/>
  <c r="F676" i="7" s="1"/>
  <c r="G673" i="7" s="1"/>
  <c r="G676" i="7" s="1"/>
  <c r="H673" i="7" s="1"/>
  <c r="H676" i="7" s="1"/>
  <c r="I673" i="7" s="1"/>
  <c r="I676" i="7" s="1"/>
  <c r="J673" i="7" s="1"/>
  <c r="J676" i="7" s="1"/>
  <c r="K673" i="7" s="1"/>
  <c r="K676" i="7" s="1"/>
  <c r="L673" i="7" s="1"/>
  <c r="L676" i="7" s="1"/>
  <c r="M673" i="7" l="1"/>
  <c r="M676" i="7" s="1"/>
  <c r="N673" i="7" l="1"/>
  <c r="N676" i="7" s="1"/>
  <c r="AO650" i="7" l="1"/>
  <c r="AO610" i="7"/>
  <c r="AO176" i="7" s="1"/>
  <c r="AO642" i="7"/>
  <c r="AO638" i="7"/>
  <c r="AO605" i="7"/>
  <c r="AO175" i="7" s="1"/>
  <c r="AO38" i="7"/>
  <c r="AO59" i="7" s="1"/>
  <c r="AN610" i="7"/>
  <c r="AN176" i="7" s="1"/>
  <c r="AN650" i="7"/>
  <c r="AN638" i="7"/>
  <c r="AN605" i="7"/>
  <c r="AN175" i="7" s="1"/>
  <c r="AN642" i="7"/>
  <c r="AN38" i="7"/>
  <c r="AN59" i="7" s="1"/>
  <c r="AM642" i="7"/>
  <c r="AM638" i="7"/>
  <c r="AM605" i="7"/>
  <c r="AM175" i="7" s="1"/>
  <c r="AM38" i="7"/>
  <c r="AM59" i="7" s="1"/>
  <c r="AM650" i="7"/>
  <c r="AM610" i="7"/>
  <c r="AM176" i="7" s="1"/>
  <c r="AL610" i="7"/>
  <c r="AL176" i="7" s="1"/>
  <c r="AL650" i="7"/>
  <c r="AL638" i="7"/>
  <c r="AL605" i="7"/>
  <c r="AL175" i="7" s="1"/>
  <c r="AL642" i="7"/>
  <c r="AL38" i="7"/>
  <c r="AL59" i="7" s="1"/>
  <c r="AK650" i="7"/>
  <c r="AK642" i="7"/>
  <c r="AK638" i="7"/>
  <c r="AK605" i="7"/>
  <c r="AK175" i="7" s="1"/>
  <c r="AK38" i="7"/>
  <c r="AK59" i="7" s="1"/>
  <c r="AK610" i="7"/>
  <c r="AK176" i="7" s="1"/>
  <c r="AJ638" i="7"/>
  <c r="AJ605" i="7"/>
  <c r="AJ175" i="7" s="1"/>
  <c r="AJ642" i="7"/>
  <c r="AJ38" i="7"/>
  <c r="AJ59" i="7" s="1"/>
  <c r="AJ610" i="7"/>
  <c r="AJ176" i="7" s="1"/>
  <c r="AJ650" i="7"/>
  <c r="AH638" i="7"/>
  <c r="AH605" i="7"/>
  <c r="AH175" i="7" s="1"/>
  <c r="AH642" i="7"/>
  <c r="AH38" i="7"/>
  <c r="AH59" i="7" s="1"/>
  <c r="AH610" i="7"/>
  <c r="AH176" i="7" s="1"/>
  <c r="AH650" i="7"/>
  <c r="AG642" i="7"/>
  <c r="AG638" i="7"/>
  <c r="AG605" i="7"/>
  <c r="AG175" i="7" s="1"/>
  <c r="AG38" i="7"/>
  <c r="AG59" i="7" s="1"/>
  <c r="AG650" i="7"/>
  <c r="AG610" i="7"/>
  <c r="AG176" i="7" s="1"/>
  <c r="AP610" i="7"/>
  <c r="AP176" i="7" s="1"/>
  <c r="AP650" i="7"/>
  <c r="AP638" i="7"/>
  <c r="AP605" i="7"/>
  <c r="AP175" i="7" s="1"/>
  <c r="AP642" i="7"/>
  <c r="AP38" i="7"/>
  <c r="AP59" i="7" s="1"/>
  <c r="AI642" i="7"/>
  <c r="AI605" i="7"/>
  <c r="AI175" i="7" s="1"/>
  <c r="AI650" i="7"/>
  <c r="AI610" i="7"/>
  <c r="AI176" i="7" s="1"/>
  <c r="AI638" i="7"/>
  <c r="AI38" i="7"/>
  <c r="AI59" i="7" s="1"/>
  <c r="C638" i="7"/>
  <c r="C38" i="7"/>
  <c r="C59" i="7" s="1"/>
  <c r="C642" i="7"/>
  <c r="C605" i="7"/>
  <c r="C175" i="7" s="1"/>
  <c r="C650" i="7"/>
  <c r="C610" i="7"/>
  <c r="C176" i="7" s="1"/>
  <c r="G650" i="7"/>
  <c r="G610" i="7"/>
  <c r="G176" i="7" s="1"/>
  <c r="G638" i="7"/>
  <c r="G38" i="7"/>
  <c r="G59" i="7" s="1"/>
  <c r="G642" i="7"/>
  <c r="G605" i="7"/>
  <c r="G175" i="7" s="1"/>
  <c r="K650" i="7"/>
  <c r="K610" i="7"/>
  <c r="K176" i="7" s="1"/>
  <c r="K605" i="7"/>
  <c r="K175" i="7" s="1"/>
  <c r="K638" i="7"/>
  <c r="K642" i="7"/>
  <c r="K38" i="7"/>
  <c r="K59" i="7" s="1"/>
  <c r="O650" i="7"/>
  <c r="O638" i="7"/>
  <c r="O38" i="7"/>
  <c r="O59" i="7" s="1"/>
  <c r="O642" i="7"/>
  <c r="O605" i="7"/>
  <c r="O175" i="7" s="1"/>
  <c r="O610" i="7"/>
  <c r="O176" i="7" s="1"/>
  <c r="S642" i="7"/>
  <c r="S605" i="7"/>
  <c r="S175" i="7" s="1"/>
  <c r="S650" i="7"/>
  <c r="S610" i="7"/>
  <c r="S176" i="7" s="1"/>
  <c r="S638" i="7"/>
  <c r="S38" i="7"/>
  <c r="S59" i="7" s="1"/>
  <c r="W642" i="7"/>
  <c r="W605" i="7"/>
  <c r="W175" i="7" s="1"/>
  <c r="W650" i="7"/>
  <c r="W610" i="7"/>
  <c r="W176" i="7" s="1"/>
  <c r="W638" i="7"/>
  <c r="W38" i="7"/>
  <c r="W59" i="7" s="1"/>
  <c r="AA642" i="7"/>
  <c r="AA605" i="7"/>
  <c r="AA175" i="7" s="1"/>
  <c r="AA650" i="7"/>
  <c r="AA610" i="7"/>
  <c r="AA176" i="7" s="1"/>
  <c r="AA638" i="7"/>
  <c r="AA38" i="7"/>
  <c r="AA59" i="7" s="1"/>
  <c r="AE650" i="7"/>
  <c r="AE610" i="7"/>
  <c r="AE176" i="7" s="1"/>
  <c r="AE638" i="7"/>
  <c r="AE38" i="7"/>
  <c r="AE59" i="7" s="1"/>
  <c r="AE642" i="7"/>
  <c r="AE605" i="7"/>
  <c r="AE175" i="7" s="1"/>
  <c r="F650" i="7"/>
  <c r="F605" i="7"/>
  <c r="F175" i="7" s="1"/>
  <c r="F38" i="7"/>
  <c r="F59" i="7" s="1"/>
  <c r="F610" i="7"/>
  <c r="F176" i="7" s="1"/>
  <c r="F638" i="7"/>
  <c r="F642" i="7"/>
  <c r="J605" i="7"/>
  <c r="J175" i="7" s="1"/>
  <c r="J38" i="7"/>
  <c r="J59" i="7" s="1"/>
  <c r="J610" i="7"/>
  <c r="J176" i="7" s="1"/>
  <c r="J638" i="7"/>
  <c r="J642" i="7"/>
  <c r="J650" i="7"/>
  <c r="N605" i="7"/>
  <c r="N175" i="7" s="1"/>
  <c r="N38" i="7"/>
  <c r="N59" i="7" s="1"/>
  <c r="N610" i="7"/>
  <c r="N176" i="7" s="1"/>
  <c r="N638" i="7"/>
  <c r="N642" i="7"/>
  <c r="N650" i="7"/>
  <c r="R638" i="7"/>
  <c r="R642" i="7"/>
  <c r="R650" i="7"/>
  <c r="R605" i="7"/>
  <c r="R175" i="7" s="1"/>
  <c r="R38" i="7"/>
  <c r="R59" i="7" s="1"/>
  <c r="R610" i="7"/>
  <c r="R176" i="7" s="1"/>
  <c r="V610" i="7"/>
  <c r="V176" i="7" s="1"/>
  <c r="V605" i="7"/>
  <c r="V175" i="7" s="1"/>
  <c r="V38" i="7"/>
  <c r="V59" i="7" s="1"/>
  <c r="V650" i="7"/>
  <c r="V638" i="7"/>
  <c r="V642" i="7"/>
  <c r="Z610" i="7"/>
  <c r="Z176" i="7" s="1"/>
  <c r="Z638" i="7"/>
  <c r="Z642" i="7"/>
  <c r="Z650" i="7"/>
  <c r="Z605" i="7"/>
  <c r="Z175" i="7" s="1"/>
  <c r="Z38" i="7"/>
  <c r="Z59" i="7" s="1"/>
  <c r="AD605" i="7"/>
  <c r="AD175" i="7" s="1"/>
  <c r="AD38" i="7"/>
  <c r="AD59" i="7" s="1"/>
  <c r="AD610" i="7"/>
  <c r="AD176" i="7" s="1"/>
  <c r="AD638" i="7"/>
  <c r="AD642" i="7"/>
  <c r="AD650" i="7"/>
  <c r="E650" i="7"/>
  <c r="E610" i="7"/>
  <c r="E176" i="7" s="1"/>
  <c r="E638" i="7"/>
  <c r="E38" i="7"/>
  <c r="E59" i="7" s="1"/>
  <c r="E642" i="7"/>
  <c r="E605" i="7"/>
  <c r="E175" i="7" s="1"/>
  <c r="I642" i="7"/>
  <c r="I605" i="7"/>
  <c r="I175" i="7" s="1"/>
  <c r="I650" i="7"/>
  <c r="I610" i="7"/>
  <c r="I176" i="7" s="1"/>
  <c r="I638" i="7"/>
  <c r="I38" i="7"/>
  <c r="I59" i="7" s="1"/>
  <c r="M650" i="7"/>
  <c r="M642" i="7"/>
  <c r="M605" i="7"/>
  <c r="M175" i="7" s="1"/>
  <c r="M610" i="7"/>
  <c r="M176" i="7" s="1"/>
  <c r="M638" i="7"/>
  <c r="M38" i="7"/>
  <c r="M59" i="7" s="1"/>
  <c r="Q650" i="7"/>
  <c r="Q610" i="7"/>
  <c r="Q176" i="7" s="1"/>
  <c r="Q638" i="7"/>
  <c r="Q38" i="7"/>
  <c r="Q59" i="7" s="1"/>
  <c r="Q642" i="7"/>
  <c r="Q605" i="7"/>
  <c r="Q175" i="7" s="1"/>
  <c r="U650" i="7"/>
  <c r="U610" i="7"/>
  <c r="U176" i="7" s="1"/>
  <c r="U642" i="7"/>
  <c r="U38" i="7"/>
  <c r="U59" i="7" s="1"/>
  <c r="U605" i="7"/>
  <c r="U175" i="7" s="1"/>
  <c r="U638" i="7"/>
  <c r="Y650" i="7"/>
  <c r="Y610" i="7"/>
  <c r="Y176" i="7" s="1"/>
  <c r="Y638" i="7"/>
  <c r="Y38" i="7"/>
  <c r="Y59" i="7" s="1"/>
  <c r="Y642" i="7"/>
  <c r="Y605" i="7"/>
  <c r="Y175" i="7" s="1"/>
  <c r="AC650" i="7"/>
  <c r="AC610" i="7"/>
  <c r="AC176" i="7" s="1"/>
  <c r="AC638" i="7"/>
  <c r="AC38" i="7"/>
  <c r="AC59" i="7" s="1"/>
  <c r="AC642" i="7"/>
  <c r="AC605" i="7"/>
  <c r="AC175" i="7" s="1"/>
  <c r="D650" i="7"/>
  <c r="D605" i="7"/>
  <c r="D175" i="7" s="1"/>
  <c r="D38" i="7"/>
  <c r="D59" i="7" s="1"/>
  <c r="D610" i="7"/>
  <c r="D176" i="7" s="1"/>
  <c r="D638" i="7"/>
  <c r="D642" i="7"/>
  <c r="H605" i="7"/>
  <c r="H175" i="7" s="1"/>
  <c r="H38" i="7"/>
  <c r="H59" i="7" s="1"/>
  <c r="H638" i="7"/>
  <c r="H642" i="7"/>
  <c r="H650" i="7"/>
  <c r="H610" i="7"/>
  <c r="H176" i="7" s="1"/>
  <c r="L605" i="7"/>
  <c r="L175" i="7" s="1"/>
  <c r="L38" i="7"/>
  <c r="L59" i="7" s="1"/>
  <c r="L610" i="7"/>
  <c r="L176" i="7" s="1"/>
  <c r="L638" i="7"/>
  <c r="L642" i="7"/>
  <c r="L650" i="7"/>
  <c r="P605" i="7"/>
  <c r="P175" i="7" s="1"/>
  <c r="P38" i="7"/>
  <c r="P59" i="7" s="1"/>
  <c r="P610" i="7"/>
  <c r="P176" i="7" s="1"/>
  <c r="P638" i="7"/>
  <c r="P642" i="7"/>
  <c r="P650" i="7"/>
  <c r="T650" i="7"/>
  <c r="T642" i="7"/>
  <c r="T605" i="7"/>
  <c r="T175" i="7" s="1"/>
  <c r="T610" i="7"/>
  <c r="T176" i="7" s="1"/>
  <c r="T638" i="7"/>
  <c r="T38" i="7"/>
  <c r="T59" i="7" s="1"/>
  <c r="X605" i="7"/>
  <c r="X175" i="7" s="1"/>
  <c r="X38" i="7"/>
  <c r="X59" i="7" s="1"/>
  <c r="X610" i="7"/>
  <c r="X176" i="7" s="1"/>
  <c r="X638" i="7"/>
  <c r="X642" i="7"/>
  <c r="X650" i="7"/>
  <c r="AB650" i="7"/>
  <c r="AB642" i="7"/>
  <c r="AB638" i="7"/>
  <c r="AB610" i="7"/>
  <c r="AB176" i="7" s="1"/>
  <c r="AB605" i="7"/>
  <c r="AB175" i="7" s="1"/>
  <c r="AB38" i="7"/>
  <c r="AB59" i="7" s="1"/>
  <c r="AF605" i="7"/>
  <c r="AF175" i="7" s="1"/>
  <c r="AF38" i="7"/>
  <c r="AF59" i="7" s="1"/>
  <c r="AF610" i="7"/>
  <c r="AF176" i="7" s="1"/>
  <c r="AF638" i="7"/>
  <c r="AF642" i="7"/>
  <c r="AF650" i="7"/>
  <c r="O673" i="7"/>
  <c r="O676" i="7" s="1"/>
  <c r="B196" i="7" l="1"/>
  <c r="M646" i="7"/>
  <c r="M651" i="7" s="1"/>
  <c r="M22" i="7" s="1"/>
  <c r="M24" i="7" s="1"/>
  <c r="R646" i="7"/>
  <c r="N646" i="7"/>
  <c r="J646" i="7"/>
  <c r="AJ646" i="7"/>
  <c r="AJ651" i="7" s="1"/>
  <c r="AJ22" i="7" s="1"/>
  <c r="AJ145" i="7"/>
  <c r="AJ148" i="7" s="1"/>
  <c r="I646" i="7"/>
  <c r="AE646" i="7"/>
  <c r="G646" i="7"/>
  <c r="G651" i="7" s="1"/>
  <c r="G22" i="7" s="1"/>
  <c r="G24" i="7" s="1"/>
  <c r="AI646" i="7"/>
  <c r="AI145" i="7"/>
  <c r="AI148" i="7" s="1"/>
  <c r="AH646" i="7"/>
  <c r="AH145" i="7"/>
  <c r="AH148" i="7" s="1"/>
  <c r="X646" i="7"/>
  <c r="P646" i="7"/>
  <c r="L646" i="7"/>
  <c r="Z646" i="7"/>
  <c r="Z651" i="7" s="1"/>
  <c r="Z22" i="7" s="1"/>
  <c r="Z24" i="7" s="1"/>
  <c r="F646" i="7"/>
  <c r="AK646" i="7"/>
  <c r="AK651" i="7" s="1"/>
  <c r="AK22" i="7" s="1"/>
  <c r="AK145" i="7"/>
  <c r="AK148" i="7" s="1"/>
  <c r="AL646" i="7"/>
  <c r="AL651" i="7" s="1"/>
  <c r="AL22" i="7" s="1"/>
  <c r="AL145" i="7"/>
  <c r="AL148" i="7" s="1"/>
  <c r="AO646" i="7"/>
  <c r="AO145" i="7"/>
  <c r="AO148" i="7" s="1"/>
  <c r="AF646" i="7"/>
  <c r="AF651" i="7" s="1"/>
  <c r="AF22" i="7" s="1"/>
  <c r="AB646" i="7"/>
  <c r="T646" i="7"/>
  <c r="H646" i="7"/>
  <c r="D646" i="7"/>
  <c r="D651" i="7" s="1"/>
  <c r="D22" i="7" s="1"/>
  <c r="D24" i="7" s="1"/>
  <c r="AM646" i="7"/>
  <c r="AM145" i="7"/>
  <c r="AM148" i="7" s="1"/>
  <c r="AN646" i="7"/>
  <c r="AN651" i="7" s="1"/>
  <c r="AN22" i="7" s="1"/>
  <c r="AN145" i="7"/>
  <c r="AN148" i="7" s="1"/>
  <c r="AD646" i="7"/>
  <c r="O646" i="7"/>
  <c r="K646" i="7"/>
  <c r="K651" i="7" s="1"/>
  <c r="K22" i="7" s="1"/>
  <c r="K24" i="7" s="1"/>
  <c r="AG646" i="7"/>
  <c r="AG145" i="7"/>
  <c r="AG148" i="7" s="1"/>
  <c r="AC646" i="7"/>
  <c r="Y646" i="7"/>
  <c r="Y651" i="7" s="1"/>
  <c r="Y22" i="7" s="1"/>
  <c r="Y24" i="7" s="1"/>
  <c r="U646" i="7"/>
  <c r="Q646" i="7"/>
  <c r="E646" i="7"/>
  <c r="V646" i="7"/>
  <c r="V651" i="7" s="1"/>
  <c r="V22" i="7" s="1"/>
  <c r="V24" i="7" s="1"/>
  <c r="AA646" i="7"/>
  <c r="W646" i="7"/>
  <c r="S646" i="7"/>
  <c r="C646" i="7"/>
  <c r="AP646" i="7"/>
  <c r="D235" i="7"/>
  <c r="AC667" i="7"/>
  <c r="AC235" i="7"/>
  <c r="Y667" i="7"/>
  <c r="Y668" i="7" s="1"/>
  <c r="Y101" i="7" s="1"/>
  <c r="Y235" i="7"/>
  <c r="U667" i="7"/>
  <c r="U668" i="7" s="1"/>
  <c r="U101" i="7" s="1"/>
  <c r="U235" i="7"/>
  <c r="Q667" i="7"/>
  <c r="Q668" i="7" s="1"/>
  <c r="Q101" i="7" s="1"/>
  <c r="Q235" i="7"/>
  <c r="E667" i="7"/>
  <c r="E668" i="7" s="1"/>
  <c r="E101" i="7" s="1"/>
  <c r="E235" i="7"/>
  <c r="Z667" i="7"/>
  <c r="Z668" i="7" s="1"/>
  <c r="Z101" i="7" s="1"/>
  <c r="Z235" i="7"/>
  <c r="V667" i="7"/>
  <c r="V668" i="7" s="1"/>
  <c r="V101" i="7" s="1"/>
  <c r="V235" i="7"/>
  <c r="R667" i="7"/>
  <c r="R668" i="7" s="1"/>
  <c r="R101" i="7" s="1"/>
  <c r="R235" i="7"/>
  <c r="AA667" i="7"/>
  <c r="AA669" i="7" s="1"/>
  <c r="AA101" i="7" s="1"/>
  <c r="AA235" i="7"/>
  <c r="W667" i="7"/>
  <c r="W668" i="7" s="1"/>
  <c r="W101" i="7" s="1"/>
  <c r="W235" i="7"/>
  <c r="S667" i="7"/>
  <c r="S668" i="7" s="1"/>
  <c r="S101" i="7" s="1"/>
  <c r="S235" i="7"/>
  <c r="AL667" i="7"/>
  <c r="AL235" i="7"/>
  <c r="X667" i="7"/>
  <c r="X668" i="7" s="1"/>
  <c r="X101" i="7" s="1"/>
  <c r="X235" i="7"/>
  <c r="AF667" i="7"/>
  <c r="AF235" i="7"/>
  <c r="T667" i="7"/>
  <c r="T668" i="7" s="1"/>
  <c r="T101" i="7" s="1"/>
  <c r="T235" i="7"/>
  <c r="D667" i="7"/>
  <c r="D668" i="7" s="1"/>
  <c r="D101" i="7" s="1"/>
  <c r="M667" i="7"/>
  <c r="M668" i="7" s="1"/>
  <c r="M101" i="7" s="1"/>
  <c r="M235" i="7"/>
  <c r="AD667" i="7"/>
  <c r="AD235" i="7"/>
  <c r="N667" i="7"/>
  <c r="N668" i="7" s="1"/>
  <c r="N101" i="7" s="1"/>
  <c r="N235" i="7"/>
  <c r="J667" i="7"/>
  <c r="J668" i="7" s="1"/>
  <c r="J101" i="7" s="1"/>
  <c r="J235" i="7"/>
  <c r="AP667" i="7"/>
  <c r="AP235" i="7"/>
  <c r="AJ667" i="7"/>
  <c r="AJ235" i="7"/>
  <c r="AO667" i="7"/>
  <c r="AO235" i="7"/>
  <c r="AB667" i="7"/>
  <c r="AB235" i="7"/>
  <c r="I667" i="7"/>
  <c r="I668" i="7" s="1"/>
  <c r="I101" i="7" s="1"/>
  <c r="I235" i="7"/>
  <c r="AE667" i="7"/>
  <c r="AE235" i="7"/>
  <c r="O667" i="7"/>
  <c r="O668" i="7" s="1"/>
  <c r="O101" i="7" s="1"/>
  <c r="O235" i="7"/>
  <c r="K667" i="7"/>
  <c r="K668" i="7" s="1"/>
  <c r="K101" i="7" s="1"/>
  <c r="K235" i="7"/>
  <c r="G667" i="7"/>
  <c r="G668" i="7" s="1"/>
  <c r="G101" i="7" s="1"/>
  <c r="G235" i="7"/>
  <c r="AI667" i="7"/>
  <c r="AI235" i="7"/>
  <c r="AH667" i="7"/>
  <c r="AH235" i="7"/>
  <c r="AK667" i="7"/>
  <c r="AK235" i="7"/>
  <c r="AM667" i="7"/>
  <c r="AM235" i="7"/>
  <c r="AN667" i="7"/>
  <c r="AN235" i="7"/>
  <c r="P667" i="7"/>
  <c r="P668" i="7" s="1"/>
  <c r="P101" i="7" s="1"/>
  <c r="P235" i="7"/>
  <c r="L667" i="7"/>
  <c r="L668" i="7" s="1"/>
  <c r="L101" i="7" s="1"/>
  <c r="L235" i="7"/>
  <c r="H667" i="7"/>
  <c r="H668" i="7" s="1"/>
  <c r="H101" i="7" s="1"/>
  <c r="H235" i="7"/>
  <c r="F667" i="7"/>
  <c r="F668" i="7" s="1"/>
  <c r="F101" i="7" s="1"/>
  <c r="F235" i="7"/>
  <c r="AG667" i="7"/>
  <c r="AG235" i="7"/>
  <c r="C667" i="7"/>
  <c r="C668" i="7" s="1"/>
  <c r="C101" i="7" s="1"/>
  <c r="AI285" i="7"/>
  <c r="AI177" i="7"/>
  <c r="AP285" i="7"/>
  <c r="AP177" i="7"/>
  <c r="AK285" i="7"/>
  <c r="AK177" i="7"/>
  <c r="AL285" i="7"/>
  <c r="AL177" i="7"/>
  <c r="AN285" i="7"/>
  <c r="AN177" i="7"/>
  <c r="AO285" i="7"/>
  <c r="AO177" i="7"/>
  <c r="AG285" i="7"/>
  <c r="AG177" i="7"/>
  <c r="AH285" i="7"/>
  <c r="AH177" i="7"/>
  <c r="AJ285" i="7"/>
  <c r="AJ177" i="7"/>
  <c r="AM285" i="7"/>
  <c r="AM177" i="7"/>
  <c r="T285" i="7"/>
  <c r="T177" i="7"/>
  <c r="L285" i="7"/>
  <c r="L177" i="7"/>
  <c r="Y285" i="7"/>
  <c r="Y177" i="7"/>
  <c r="U285" i="7"/>
  <c r="U177" i="7"/>
  <c r="Q285" i="7"/>
  <c r="Q177" i="7"/>
  <c r="Z285" i="7"/>
  <c r="Z177" i="7"/>
  <c r="J285" i="7"/>
  <c r="J177" i="7"/>
  <c r="F285" i="7"/>
  <c r="F177" i="7"/>
  <c r="W285" i="7"/>
  <c r="W177" i="7"/>
  <c r="O285" i="7"/>
  <c r="O177" i="7"/>
  <c r="AF285" i="7"/>
  <c r="AF177" i="7"/>
  <c r="AB285" i="7"/>
  <c r="AB177" i="7"/>
  <c r="X285" i="7"/>
  <c r="X177" i="7"/>
  <c r="P285" i="7"/>
  <c r="P177" i="7"/>
  <c r="H285" i="7"/>
  <c r="H177" i="7"/>
  <c r="D285" i="7"/>
  <c r="D177" i="7"/>
  <c r="AC285" i="7"/>
  <c r="AC177" i="7"/>
  <c r="M285" i="7"/>
  <c r="M177" i="7"/>
  <c r="I285" i="7"/>
  <c r="I177" i="7"/>
  <c r="E285" i="7"/>
  <c r="E177" i="7"/>
  <c r="AD285" i="7"/>
  <c r="AD177" i="7"/>
  <c r="V285" i="7"/>
  <c r="V177" i="7"/>
  <c r="R285" i="7"/>
  <c r="R177" i="7"/>
  <c r="N285" i="7"/>
  <c r="N177" i="7"/>
  <c r="AE285" i="7"/>
  <c r="AE177" i="7"/>
  <c r="AA285" i="7"/>
  <c r="AA177" i="7"/>
  <c r="S285" i="7"/>
  <c r="S177" i="7"/>
  <c r="K285" i="7"/>
  <c r="K177" i="7"/>
  <c r="G285" i="7"/>
  <c r="G177" i="7"/>
  <c r="C285" i="7"/>
  <c r="C177" i="7"/>
  <c r="P673" i="7"/>
  <c r="P676" i="7" s="1"/>
  <c r="AI244" i="7" l="1"/>
  <c r="AK225" i="7"/>
  <c r="AK244" i="7"/>
  <c r="AO244" i="7"/>
  <c r="O244" i="7"/>
  <c r="N244" i="7"/>
  <c r="AH244" i="7"/>
  <c r="AC244" i="7"/>
  <c r="AM244" i="7"/>
  <c r="U244" i="7"/>
  <c r="P244" i="7"/>
  <c r="V225" i="7"/>
  <c r="V244" i="7"/>
  <c r="Y225" i="7"/>
  <c r="Y244" i="7"/>
  <c r="K225" i="7"/>
  <c r="K244" i="7"/>
  <c r="AN225" i="7"/>
  <c r="AN244" i="7"/>
  <c r="D225" i="7"/>
  <c r="D244" i="7"/>
  <c r="AF225" i="7"/>
  <c r="AF244" i="7"/>
  <c r="AL225" i="7"/>
  <c r="AL244" i="7"/>
  <c r="Z225" i="7"/>
  <c r="Z244" i="7"/>
  <c r="G225" i="7"/>
  <c r="G244" i="7"/>
  <c r="AJ225" i="7"/>
  <c r="AJ244" i="7"/>
  <c r="M225" i="7"/>
  <c r="M244" i="7"/>
  <c r="AE244" i="7"/>
  <c r="AD244" i="7"/>
  <c r="I244" i="7"/>
  <c r="J244" i="7"/>
  <c r="R244" i="7"/>
  <c r="H244" i="7"/>
  <c r="T244" i="7"/>
  <c r="AG244" i="7"/>
  <c r="S244" i="7"/>
  <c r="W244" i="7"/>
  <c r="AA244" i="7"/>
  <c r="E244" i="7"/>
  <c r="Q244" i="7"/>
  <c r="AB244" i="7"/>
  <c r="AP244" i="7"/>
  <c r="F244" i="7"/>
  <c r="L244" i="7"/>
  <c r="X244" i="7"/>
  <c r="AP651" i="7"/>
  <c r="AP22" i="7" s="1"/>
  <c r="AP225" i="7"/>
  <c r="Q651" i="7"/>
  <c r="Q22" i="7" s="1"/>
  <c r="Q24" i="7" s="1"/>
  <c r="Q225" i="7"/>
  <c r="AM651" i="7"/>
  <c r="AM22" i="7" s="1"/>
  <c r="AM225" i="7"/>
  <c r="P651" i="7"/>
  <c r="P22" i="7" s="1"/>
  <c r="P24" i="7" s="1"/>
  <c r="P225" i="7"/>
  <c r="I651" i="7"/>
  <c r="I22" i="7" s="1"/>
  <c r="I24" i="7" s="1"/>
  <c r="I225" i="7"/>
  <c r="AA651" i="7"/>
  <c r="AA22" i="7" s="1"/>
  <c r="AA24" i="7" s="1"/>
  <c r="AA225" i="7"/>
  <c r="AG651" i="7"/>
  <c r="AG22" i="7" s="1"/>
  <c r="AG225" i="7"/>
  <c r="AB651" i="7"/>
  <c r="AB22" i="7" s="1"/>
  <c r="AB225" i="7"/>
  <c r="F651" i="7"/>
  <c r="F22" i="7" s="1"/>
  <c r="F24" i="7" s="1"/>
  <c r="F225" i="7"/>
  <c r="C651" i="7"/>
  <c r="C22" i="7" s="1"/>
  <c r="C24" i="7" s="1"/>
  <c r="W651" i="7"/>
  <c r="W22" i="7" s="1"/>
  <c r="W24" i="7" s="1"/>
  <c r="W225" i="7"/>
  <c r="AD651" i="7"/>
  <c r="AD22" i="7" s="1"/>
  <c r="AD225" i="7"/>
  <c r="T651" i="7"/>
  <c r="T22" i="7" s="1"/>
  <c r="T24" i="7" s="1"/>
  <c r="T225" i="7"/>
  <c r="AO651" i="7"/>
  <c r="AO22" i="7" s="1"/>
  <c r="AO225" i="7"/>
  <c r="N651" i="7"/>
  <c r="N22" i="7" s="1"/>
  <c r="N24" i="7" s="1"/>
  <c r="N225" i="7"/>
  <c r="U651" i="7"/>
  <c r="U22" i="7" s="1"/>
  <c r="U24" i="7" s="1"/>
  <c r="U225" i="7"/>
  <c r="X651" i="7"/>
  <c r="X22" i="7" s="1"/>
  <c r="X24" i="7" s="1"/>
  <c r="X225" i="7"/>
  <c r="AI651" i="7"/>
  <c r="AI22" i="7" s="1"/>
  <c r="AI225" i="7"/>
  <c r="R651" i="7"/>
  <c r="R22" i="7" s="1"/>
  <c r="R24" i="7" s="1"/>
  <c r="R225" i="7"/>
  <c r="S651" i="7"/>
  <c r="S22" i="7" s="1"/>
  <c r="S24" i="7" s="1"/>
  <c r="S225" i="7"/>
  <c r="E651" i="7"/>
  <c r="E22" i="7" s="1"/>
  <c r="E24" i="7" s="1"/>
  <c r="E225" i="7"/>
  <c r="AC651" i="7"/>
  <c r="AC22" i="7" s="1"/>
  <c r="AC225" i="7"/>
  <c r="O651" i="7"/>
  <c r="O22" i="7" s="1"/>
  <c r="O24" i="7" s="1"/>
  <c r="O225" i="7"/>
  <c r="H651" i="7"/>
  <c r="H22" i="7" s="1"/>
  <c r="H24" i="7" s="1"/>
  <c r="H225" i="7"/>
  <c r="L651" i="7"/>
  <c r="L22" i="7" s="1"/>
  <c r="L24" i="7" s="1"/>
  <c r="L225" i="7"/>
  <c r="AH651" i="7"/>
  <c r="AH22" i="7" s="1"/>
  <c r="AH225" i="7"/>
  <c r="AE651" i="7"/>
  <c r="AE22" i="7" s="1"/>
  <c r="AE225" i="7"/>
  <c r="J651" i="7"/>
  <c r="J22" i="7" s="1"/>
  <c r="J24" i="7" s="1"/>
  <c r="J225" i="7"/>
  <c r="C217" i="7"/>
  <c r="C235" i="7"/>
  <c r="AL658" i="7"/>
  <c r="AM217" i="7"/>
  <c r="N658" i="7"/>
  <c r="O217" i="7"/>
  <c r="AO658" i="7"/>
  <c r="AP217" i="7"/>
  <c r="AE658" i="7"/>
  <c r="AF217" i="7"/>
  <c r="AK658" i="7"/>
  <c r="AL217" i="7"/>
  <c r="V658" i="7"/>
  <c r="W217" i="7"/>
  <c r="Q658" i="7"/>
  <c r="R217" i="7"/>
  <c r="Y658" i="7"/>
  <c r="Z217" i="7"/>
  <c r="P658" i="7"/>
  <c r="Q217" i="7"/>
  <c r="X658" i="7"/>
  <c r="Y217" i="7"/>
  <c r="C658" i="7"/>
  <c r="D217" i="7"/>
  <c r="AF658" i="7"/>
  <c r="AG217" i="7"/>
  <c r="O658" i="7"/>
  <c r="P217" i="7"/>
  <c r="F658" i="7"/>
  <c r="G217" i="7"/>
  <c r="AN658" i="7"/>
  <c r="AO217" i="7"/>
  <c r="L658" i="7"/>
  <c r="M217" i="7"/>
  <c r="E658" i="7"/>
  <c r="F217" i="7"/>
  <c r="K658" i="7"/>
  <c r="L217" i="7"/>
  <c r="AM658" i="7"/>
  <c r="AN217" i="7"/>
  <c r="AJ658" i="7"/>
  <c r="AK217" i="7"/>
  <c r="AH658" i="7"/>
  <c r="AI217" i="7"/>
  <c r="J658" i="7"/>
  <c r="K217" i="7"/>
  <c r="AD658" i="7"/>
  <c r="AE217" i="7"/>
  <c r="AA658" i="7"/>
  <c r="AB217" i="7"/>
  <c r="AI658" i="7"/>
  <c r="AJ217" i="7"/>
  <c r="I658" i="7"/>
  <c r="J217" i="7"/>
  <c r="AC658" i="7"/>
  <c r="AD217" i="7"/>
  <c r="B658" i="7"/>
  <c r="G658" i="7"/>
  <c r="H217" i="7"/>
  <c r="AG658" i="7"/>
  <c r="AH217" i="7"/>
  <c r="H658" i="7"/>
  <c r="I217" i="7"/>
  <c r="M658" i="7"/>
  <c r="N217" i="7"/>
  <c r="S658" i="7"/>
  <c r="T217" i="7"/>
  <c r="W658" i="7"/>
  <c r="X217" i="7"/>
  <c r="R658" i="7"/>
  <c r="S217" i="7"/>
  <c r="Z658" i="7"/>
  <c r="AA217" i="7"/>
  <c r="U658" i="7"/>
  <c r="V217" i="7"/>
  <c r="D658" i="7"/>
  <c r="E217" i="7"/>
  <c r="T658" i="7"/>
  <c r="U217" i="7"/>
  <c r="AB658" i="7"/>
  <c r="AC217" i="7"/>
  <c r="C61" i="7"/>
  <c r="C86" i="7" s="1"/>
  <c r="B200" i="7"/>
  <c r="Q673" i="7"/>
  <c r="Q676" i="7" s="1"/>
  <c r="H769" i="7" l="1"/>
  <c r="I770" i="7" s="1"/>
  <c r="G769" i="7"/>
  <c r="H770" i="7" s="1"/>
  <c r="B769" i="7"/>
  <c r="C770" i="7" s="1"/>
  <c r="B656" i="7"/>
  <c r="J769" i="7"/>
  <c r="K770" i="7" s="1"/>
  <c r="F769" i="7"/>
  <c r="G770" i="7" s="1"/>
  <c r="N769" i="7"/>
  <c r="O770" i="7" s="1"/>
  <c r="I769" i="7"/>
  <c r="J770" i="7" s="1"/>
  <c r="D769" i="7"/>
  <c r="E770" i="7" s="1"/>
  <c r="M769" i="7"/>
  <c r="N770" i="7" s="1"/>
  <c r="K769" i="7"/>
  <c r="L770" i="7" s="1"/>
  <c r="L769" i="7"/>
  <c r="M770" i="7" s="1"/>
  <c r="E769" i="7"/>
  <c r="F770" i="7" s="1"/>
  <c r="O769" i="7"/>
  <c r="P770" i="7" s="1"/>
  <c r="C769" i="7"/>
  <c r="D770" i="7" s="1"/>
  <c r="P769" i="7"/>
  <c r="Q770" i="7" s="1"/>
  <c r="Q769" i="7"/>
  <c r="R770" i="7" s="1"/>
  <c r="B201" i="7"/>
  <c r="F11" i="1" s="1"/>
  <c r="R673" i="7"/>
  <c r="R676" i="7" s="1"/>
  <c r="R769" i="7" s="1"/>
  <c r="S770" i="7" s="1"/>
  <c r="L233" i="7" l="1"/>
  <c r="L87" i="7"/>
  <c r="L215" i="7"/>
  <c r="F233" i="7"/>
  <c r="F87" i="7"/>
  <c r="F215" i="7"/>
  <c r="J215" i="7"/>
  <c r="J87" i="7"/>
  <c r="J233" i="7"/>
  <c r="K233" i="7"/>
  <c r="K87" i="7"/>
  <c r="K215" i="7"/>
  <c r="H233" i="7"/>
  <c r="H87" i="7"/>
  <c r="H215" i="7"/>
  <c r="S215" i="7"/>
  <c r="S233" i="7"/>
  <c r="S87" i="7"/>
  <c r="Q215" i="7"/>
  <c r="Q87" i="7"/>
  <c r="Q233" i="7"/>
  <c r="M215" i="7"/>
  <c r="M87" i="7"/>
  <c r="M233" i="7"/>
  <c r="N233" i="7"/>
  <c r="N87" i="7"/>
  <c r="N215" i="7"/>
  <c r="E215" i="7"/>
  <c r="E87" i="7"/>
  <c r="E233" i="7"/>
  <c r="D87" i="7"/>
  <c r="D233" i="7"/>
  <c r="D215" i="7"/>
  <c r="P215" i="7"/>
  <c r="P233" i="7"/>
  <c r="P87" i="7"/>
  <c r="R233" i="7"/>
  <c r="R87" i="7"/>
  <c r="R215" i="7"/>
  <c r="O215" i="7"/>
  <c r="O87" i="7"/>
  <c r="O233" i="7"/>
  <c r="G233" i="7"/>
  <c r="G87" i="7"/>
  <c r="G215" i="7"/>
  <c r="C233" i="7"/>
  <c r="C215" i="7"/>
  <c r="C87" i="7"/>
  <c r="I215" i="7"/>
  <c r="I87" i="7"/>
  <c r="I233" i="7"/>
  <c r="S673" i="7"/>
  <c r="S676" i="7" s="1"/>
  <c r="S769" i="7" s="1"/>
  <c r="T770" i="7" s="1"/>
  <c r="T215" i="7" l="1"/>
  <c r="T87" i="7"/>
  <c r="T233" i="7"/>
  <c r="G655" i="7"/>
  <c r="G656" i="7" s="1"/>
  <c r="G96" i="7" s="1"/>
  <c r="G102" i="7" s="1"/>
  <c r="G108" i="7" s="1"/>
  <c r="I655" i="7"/>
  <c r="I656" i="7" s="1"/>
  <c r="K655" i="7"/>
  <c r="K656" i="7" s="1"/>
  <c r="K96" i="7" s="1"/>
  <c r="K102" i="7" s="1"/>
  <c r="K108" i="7" s="1"/>
  <c r="S655" i="7"/>
  <c r="S656" i="7" s="1"/>
  <c r="O655" i="7"/>
  <c r="O656" i="7" s="1"/>
  <c r="O96" i="7" s="1"/>
  <c r="O102" i="7" s="1"/>
  <c r="O108" i="7" s="1"/>
  <c r="Q655" i="7"/>
  <c r="Q656" i="7" s="1"/>
  <c r="E655" i="7"/>
  <c r="E656" i="7" s="1"/>
  <c r="M655" i="7"/>
  <c r="M656" i="7" s="1"/>
  <c r="U655" i="7"/>
  <c r="U656" i="7" s="1"/>
  <c r="U96" i="7" s="1"/>
  <c r="U102" i="7" s="1"/>
  <c r="U108" i="7" s="1"/>
  <c r="AA655" i="7"/>
  <c r="AC655" i="7"/>
  <c r="AG655" i="7"/>
  <c r="W655" i="7"/>
  <c r="W656" i="7" s="1"/>
  <c r="W96" i="7" s="1"/>
  <c r="W102" i="7" s="1"/>
  <c r="W108" i="7" s="1"/>
  <c r="AE655" i="7"/>
  <c r="AJ655" i="7"/>
  <c r="Y655" i="7"/>
  <c r="Y656" i="7" s="1"/>
  <c r="AG96" i="7"/>
  <c r="AG102" i="7" s="1"/>
  <c r="AG108" i="7" s="1"/>
  <c r="AH655" i="7"/>
  <c r="AI655" i="7"/>
  <c r="AO655" i="7"/>
  <c r="AK655" i="7"/>
  <c r="AJ96" i="7"/>
  <c r="AJ102" i="7" s="1"/>
  <c r="AJ108" i="7" s="1"/>
  <c r="AL655" i="7"/>
  <c r="AP655" i="7"/>
  <c r="AM655" i="7"/>
  <c r="AN655" i="7"/>
  <c r="D655" i="7"/>
  <c r="D656" i="7" s="1"/>
  <c r="F655" i="7"/>
  <c r="F656" i="7" s="1"/>
  <c r="E96" i="7"/>
  <c r="E102" i="7" s="1"/>
  <c r="E108" i="7" s="1"/>
  <c r="H655" i="7"/>
  <c r="H656" i="7" s="1"/>
  <c r="J655" i="7"/>
  <c r="J656" i="7" s="1"/>
  <c r="I96" i="7"/>
  <c r="I102" i="7" s="1"/>
  <c r="I108" i="7" s="1"/>
  <c r="L655" i="7"/>
  <c r="L656" i="7" s="1"/>
  <c r="N655" i="7"/>
  <c r="N656" i="7" s="1"/>
  <c r="M96" i="7"/>
  <c r="M102" i="7" s="1"/>
  <c r="M108" i="7" s="1"/>
  <c r="P655" i="7"/>
  <c r="P656" i="7" s="1"/>
  <c r="R655" i="7"/>
  <c r="R656" i="7" s="1"/>
  <c r="Q96" i="7"/>
  <c r="Q102" i="7" s="1"/>
  <c r="Q108" i="7" s="1"/>
  <c r="T655" i="7"/>
  <c r="T656" i="7" s="1"/>
  <c r="S96" i="7"/>
  <c r="S102" i="7" s="1"/>
  <c r="S108" i="7" s="1"/>
  <c r="V655" i="7"/>
  <c r="V656" i="7" s="1"/>
  <c r="X655" i="7"/>
  <c r="X656" i="7" s="1"/>
  <c r="Z655" i="7"/>
  <c r="Z656" i="7" s="1"/>
  <c r="Y96" i="7"/>
  <c r="Y102" i="7" s="1"/>
  <c r="Y108" i="7" s="1"/>
  <c r="AB655" i="7"/>
  <c r="AD655" i="7"/>
  <c r="AC96" i="7"/>
  <c r="AC102" i="7" s="1"/>
  <c r="AC108" i="7" s="1"/>
  <c r="AF655" i="7"/>
  <c r="AE96" i="7"/>
  <c r="AE102" i="7" s="1"/>
  <c r="AE108" i="7" s="1"/>
  <c r="T673" i="7"/>
  <c r="T676" i="7" s="1"/>
  <c r="T769" i="7" s="1"/>
  <c r="U770" i="7" s="1"/>
  <c r="U87" i="7" l="1"/>
  <c r="U233" i="7"/>
  <c r="U215" i="7"/>
  <c r="R96" i="7"/>
  <c r="R102" i="7" s="1"/>
  <c r="R108" i="7" s="1"/>
  <c r="AO96" i="7"/>
  <c r="AO102" i="7" s="1"/>
  <c r="AO108" i="7" s="1"/>
  <c r="Z96" i="7"/>
  <c r="Z102" i="7" s="1"/>
  <c r="Z108" i="7" s="1"/>
  <c r="J96" i="7"/>
  <c r="J102" i="7" s="1"/>
  <c r="J108" i="7" s="1"/>
  <c r="AP657" i="7"/>
  <c r="D96" i="7"/>
  <c r="D102" i="7" s="1"/>
  <c r="D108" i="7" s="1"/>
  <c r="P96" i="7"/>
  <c r="P102" i="7" s="1"/>
  <c r="P108" i="7" s="1"/>
  <c r="V96" i="7"/>
  <c r="V102" i="7" s="1"/>
  <c r="V108" i="7" s="1"/>
  <c r="N96" i="7"/>
  <c r="N102" i="7" s="1"/>
  <c r="N108" i="7" s="1"/>
  <c r="F96" i="7"/>
  <c r="F102" i="7" s="1"/>
  <c r="F108" i="7" s="1"/>
  <c r="AD96" i="7"/>
  <c r="AD102" i="7" s="1"/>
  <c r="AD108" i="7" s="1"/>
  <c r="AL96" i="7"/>
  <c r="AL102" i="7" s="1"/>
  <c r="AL108" i="7" s="1"/>
  <c r="AI96" i="7"/>
  <c r="AI102" i="7" s="1"/>
  <c r="AI108" i="7" s="1"/>
  <c r="AB96" i="7"/>
  <c r="AB102" i="7" s="1"/>
  <c r="AB108" i="7" s="1"/>
  <c r="X96" i="7"/>
  <c r="X102" i="7" s="1"/>
  <c r="X108" i="7" s="1"/>
  <c r="T96" i="7"/>
  <c r="T102" i="7" s="1"/>
  <c r="T108" i="7" s="1"/>
  <c r="L96" i="7"/>
  <c r="L102" i="7" s="1"/>
  <c r="L108" i="7" s="1"/>
  <c r="H96" i="7"/>
  <c r="H102" i="7" s="1"/>
  <c r="H108" i="7" s="1"/>
  <c r="AN96" i="7"/>
  <c r="AN102" i="7" s="1"/>
  <c r="AN108" i="7" s="1"/>
  <c r="AH96" i="7"/>
  <c r="AH102" i="7" s="1"/>
  <c r="AH108" i="7" s="1"/>
  <c r="AA657" i="7"/>
  <c r="AA141" i="7" s="1"/>
  <c r="AM96" i="7"/>
  <c r="AM102" i="7" s="1"/>
  <c r="AM108" i="7" s="1"/>
  <c r="AK96" i="7"/>
  <c r="AK102" i="7" s="1"/>
  <c r="AK108" i="7" s="1"/>
  <c r="C655" i="7"/>
  <c r="C656" i="7" s="1"/>
  <c r="C96" i="7" s="1"/>
  <c r="C102" i="7" s="1"/>
  <c r="C108" i="7" s="1"/>
  <c r="AF657" i="7"/>
  <c r="U673" i="7"/>
  <c r="U676" i="7" s="1"/>
  <c r="U769" i="7" s="1"/>
  <c r="V770" i="7" s="1"/>
  <c r="V233" i="7" l="1"/>
  <c r="V87" i="7"/>
  <c r="V215" i="7"/>
  <c r="AP96" i="7"/>
  <c r="AP102" i="7" s="1"/>
  <c r="AP108" i="7" s="1"/>
  <c r="AP141" i="7"/>
  <c r="AP145" i="7" s="1"/>
  <c r="AP148" i="7" s="1"/>
  <c r="AF117" i="7"/>
  <c r="AF141" i="7"/>
  <c r="AA96" i="7"/>
  <c r="AP117" i="7"/>
  <c r="B96" i="7"/>
  <c r="B112" i="7"/>
  <c r="AF96" i="7"/>
  <c r="AF102" i="7" s="1"/>
  <c r="AF108" i="7" s="1"/>
  <c r="V673" i="7"/>
  <c r="V676" i="7" s="1"/>
  <c r="V769" i="7" s="1"/>
  <c r="W770" i="7" s="1"/>
  <c r="W233" i="7" l="1"/>
  <c r="W87" i="7"/>
  <c r="W215" i="7"/>
  <c r="W673" i="7"/>
  <c r="W676" i="7" s="1"/>
  <c r="W769" i="7" s="1"/>
  <c r="X770" i="7" s="1"/>
  <c r="X233" i="7" l="1"/>
  <c r="X87" i="7"/>
  <c r="X215" i="7"/>
  <c r="X673" i="7"/>
  <c r="X676" i="7" s="1"/>
  <c r="X769" i="7" s="1"/>
  <c r="Y770" i="7" s="1"/>
  <c r="Y215" i="7" l="1"/>
  <c r="Y87" i="7"/>
  <c r="Y233" i="7"/>
  <c r="Y673" i="7"/>
  <c r="Y676" i="7" s="1"/>
  <c r="Y769" i="7" s="1"/>
  <c r="Z770" i="7" s="1"/>
  <c r="Z215" i="7" l="1"/>
  <c r="Z87" i="7"/>
  <c r="Z233" i="7"/>
  <c r="Z673" i="7"/>
  <c r="Z676" i="7" s="1"/>
  <c r="Z769" i="7" s="1"/>
  <c r="AA770" i="7" s="1"/>
  <c r="AA233" i="7" l="1"/>
  <c r="AA215" i="7"/>
  <c r="AA87" i="7"/>
  <c r="AA673" i="7"/>
  <c r="AA676" i="7" s="1"/>
  <c r="AA769" i="7" s="1"/>
  <c r="AB673" i="7" l="1"/>
  <c r="AB676" i="7" s="1"/>
  <c r="AB769" i="7" s="1"/>
  <c r="AB774" i="7"/>
  <c r="AB214" i="7" l="1"/>
  <c r="AB232" i="7"/>
  <c r="AB143" i="7"/>
  <c r="AB145" i="7" s="1"/>
  <c r="AB148" i="7" s="1"/>
  <c r="AC673" i="7"/>
  <c r="AC676" i="7" s="1"/>
  <c r="AC769" i="7" s="1"/>
  <c r="AC774" i="7"/>
  <c r="AC232" i="7" l="1"/>
  <c r="AC214" i="7"/>
  <c r="AC143" i="7"/>
  <c r="AC145" i="7" s="1"/>
  <c r="AC148" i="7" s="1"/>
  <c r="AD673" i="7"/>
  <c r="AD676" i="7" s="1"/>
  <c r="AD769" i="7" s="1"/>
  <c r="AD774" i="7"/>
  <c r="AD232" i="7" l="1"/>
  <c r="AD214" i="7"/>
  <c r="AD143" i="7"/>
  <c r="AD145" i="7" s="1"/>
  <c r="AD148" i="7" s="1"/>
  <c r="AE673" i="7"/>
  <c r="AE676" i="7" s="1"/>
  <c r="AE769" i="7" s="1"/>
  <c r="AE774" i="7"/>
  <c r="AE214" i="7" l="1"/>
  <c r="AE232" i="7"/>
  <c r="AE143" i="7"/>
  <c r="AE145" i="7" s="1"/>
  <c r="AE148" i="7" s="1"/>
  <c r="AF673" i="7"/>
  <c r="AF676" i="7" s="1"/>
  <c r="AF769" i="7" s="1"/>
  <c r="AF774" i="7"/>
  <c r="AF214" i="7" l="1"/>
  <c r="AF232" i="7"/>
  <c r="AF143" i="7"/>
  <c r="AF145" i="7" s="1"/>
  <c r="AF148" i="7" s="1"/>
  <c r="AG673" i="7"/>
  <c r="AG676" i="7" s="1"/>
  <c r="AG769" i="7" s="1"/>
  <c r="M453" i="7" l="1"/>
  <c r="M455" i="7"/>
  <c r="AH673" i="7"/>
  <c r="AH676" i="7" s="1"/>
  <c r="AH769" i="7" s="1"/>
  <c r="M318" i="7" l="1"/>
  <c r="M452" i="7"/>
  <c r="AI673" i="7"/>
  <c r="AI676" i="7" s="1"/>
  <c r="AI769" i="7" s="1"/>
  <c r="AJ673" i="7" l="1"/>
  <c r="AJ676" i="7" s="1"/>
  <c r="AJ769" i="7" s="1"/>
  <c r="AK673" i="7" l="1"/>
  <c r="AK676" i="7" s="1"/>
  <c r="AK769" i="7" s="1"/>
  <c r="AL673" i="7" l="1"/>
  <c r="AL676" i="7" s="1"/>
  <c r="AL769" i="7" s="1"/>
  <c r="AM673" i="7" l="1"/>
  <c r="AM676" i="7" s="1"/>
  <c r="AM769" i="7" s="1"/>
  <c r="AN673" i="7" l="1"/>
  <c r="AN676" i="7" s="1"/>
  <c r="AN769" i="7" s="1"/>
  <c r="AO673" i="7" l="1"/>
  <c r="AO676" i="7" s="1"/>
  <c r="AO769" i="7" s="1"/>
  <c r="AP673" i="7" l="1"/>
  <c r="AP676" i="7" s="1"/>
  <c r="AP769" i="7" s="1"/>
  <c r="H61" i="7" l="1"/>
  <c r="AF61" i="7"/>
  <c r="AN61" i="7"/>
  <c r="AC61" i="7"/>
  <c r="AP61" i="7"/>
  <c r="AH61" i="7"/>
  <c r="AC86" i="7" l="1"/>
  <c r="AC88" i="7" s="1"/>
  <c r="AC116" i="7" s="1"/>
  <c r="AF86" i="7"/>
  <c r="AF88" i="7" s="1"/>
  <c r="AF116" i="7" s="1"/>
  <c r="Q61" i="7"/>
  <c r="H86" i="7"/>
  <c r="G61" i="7"/>
  <c r="L61" i="7"/>
  <c r="AO61" i="7"/>
  <c r="AM61" i="7"/>
  <c r="AI61" i="7"/>
  <c r="AN86" i="7"/>
  <c r="AP86" i="7"/>
  <c r="AB61" i="7"/>
  <c r="AD61" i="7"/>
  <c r="E61" i="7"/>
  <c r="AK61" i="7"/>
  <c r="U61" i="7"/>
  <c r="AJ61" i="7"/>
  <c r="J61" i="7"/>
  <c r="AG61" i="7"/>
  <c r="R61" i="7"/>
  <c r="AE61" i="7"/>
  <c r="AH86" i="7"/>
  <c r="N61" i="7"/>
  <c r="T61" i="7"/>
  <c r="AL61" i="7"/>
  <c r="AP88" i="7" l="1"/>
  <c r="AP116" i="7" s="1"/>
  <c r="AH88" i="7"/>
  <c r="AH116" i="7" s="1"/>
  <c r="AN88" i="7"/>
  <c r="AN116" i="7" s="1"/>
  <c r="AA61" i="7"/>
  <c r="M61" i="7"/>
  <c r="F61" i="7"/>
  <c r="D61" i="7"/>
  <c r="K61" i="7"/>
  <c r="T86" i="7"/>
  <c r="R86" i="7"/>
  <c r="P61" i="7"/>
  <c r="J86" i="7"/>
  <c r="O61" i="7"/>
  <c r="S61" i="7"/>
  <c r="AJ86" i="7"/>
  <c r="AK86" i="7"/>
  <c r="E86" i="7"/>
  <c r="G86" i="7"/>
  <c r="Z61" i="7"/>
  <c r="AI86" i="7"/>
  <c r="X61" i="7"/>
  <c r="Y61" i="7"/>
  <c r="AM86" i="7"/>
  <c r="AO86" i="7"/>
  <c r="L86" i="7"/>
  <c r="Q86" i="7"/>
  <c r="V61" i="7"/>
  <c r="AL86" i="7"/>
  <c r="N86" i="7"/>
  <c r="AE86" i="7"/>
  <c r="W61" i="7"/>
  <c r="AG86" i="7"/>
  <c r="U86" i="7"/>
  <c r="AD86" i="7"/>
  <c r="AB86" i="7"/>
  <c r="I61" i="7"/>
  <c r="AC118" i="7" l="1"/>
  <c r="AF118" i="7"/>
  <c r="AM88" i="7"/>
  <c r="AM116" i="7" s="1"/>
  <c r="AK88" i="7"/>
  <c r="AK116" i="7" s="1"/>
  <c r="AJ88" i="7"/>
  <c r="AJ116" i="7" s="1"/>
  <c r="AL88" i="7"/>
  <c r="AL116" i="7" s="1"/>
  <c r="AB88" i="7"/>
  <c r="AB116" i="7" s="1"/>
  <c r="AD88" i="7"/>
  <c r="AD116" i="7" s="1"/>
  <c r="AO88" i="7"/>
  <c r="AO116" i="7" s="1"/>
  <c r="AI88" i="7"/>
  <c r="AI116" i="7" s="1"/>
  <c r="AG88" i="7"/>
  <c r="AG116" i="7" s="1"/>
  <c r="AE88" i="7"/>
  <c r="AE116" i="7" s="1"/>
  <c r="AA86" i="7"/>
  <c r="AA88" i="7" s="1"/>
  <c r="M86" i="7"/>
  <c r="D86" i="7"/>
  <c r="F86" i="7"/>
  <c r="K86" i="7"/>
  <c r="W86" i="7"/>
  <c r="Y86" i="7"/>
  <c r="Z86" i="7"/>
  <c r="S86" i="7"/>
  <c r="O86" i="7"/>
  <c r="I86" i="7"/>
  <c r="V86" i="7"/>
  <c r="X86" i="7"/>
  <c r="P86" i="7"/>
  <c r="AF236" i="7" l="1"/>
  <c r="AF218" i="7"/>
  <c r="AF219" i="7" s="1"/>
  <c r="AC236" i="7"/>
  <c r="AC218" i="7"/>
  <c r="AC219" i="7" s="1"/>
  <c r="AF280" i="7"/>
  <c r="AC280" i="7"/>
  <c r="AC165" i="7"/>
  <c r="AC166" i="7" s="1"/>
  <c r="AC169" i="7" s="1"/>
  <c r="AC251" i="7"/>
  <c r="AF165" i="7"/>
  <c r="AF166" i="7" s="1"/>
  <c r="AF169" i="7" s="1"/>
  <c r="AF251" i="7"/>
  <c r="AC122" i="7"/>
  <c r="AC123" i="7" s="1"/>
  <c r="AC134" i="7" s="1"/>
  <c r="AF122" i="7"/>
  <c r="AF123" i="7" s="1"/>
  <c r="AF134" i="7" s="1"/>
  <c r="AN118" i="7"/>
  <c r="AP118" i="7"/>
  <c r="AH118" i="7"/>
  <c r="X88" i="7"/>
  <c r="X116" i="7" s="1"/>
  <c r="Z88" i="7"/>
  <c r="Z116" i="7" s="1"/>
  <c r="Y88" i="7"/>
  <c r="Y116" i="7" s="1"/>
  <c r="W88" i="7"/>
  <c r="W116" i="7" s="1"/>
  <c r="AF226" i="7" l="1"/>
  <c r="AF228" i="7" s="1"/>
  <c r="AC226" i="7"/>
  <c r="AC228" i="7" s="1"/>
  <c r="AN236" i="7"/>
  <c r="AN218" i="7"/>
  <c r="AN219" i="7" s="1"/>
  <c r="AH236" i="7"/>
  <c r="AH218" i="7"/>
  <c r="AH219" i="7" s="1"/>
  <c r="AP236" i="7"/>
  <c r="AP218" i="7"/>
  <c r="AP219" i="7" s="1"/>
  <c r="U88" i="7"/>
  <c r="U116" i="7" s="1"/>
  <c r="AH280" i="7"/>
  <c r="AP280" i="7"/>
  <c r="AN280" i="7"/>
  <c r="AH165" i="7"/>
  <c r="AH166" i="7" s="1"/>
  <c r="AH169" i="7" s="1"/>
  <c r="AH251" i="7"/>
  <c r="AP165" i="7"/>
  <c r="AP166" i="7" s="1"/>
  <c r="AP169" i="7" s="1"/>
  <c r="AP251" i="7"/>
  <c r="AN165" i="7"/>
  <c r="AN166" i="7" s="1"/>
  <c r="AN169" i="7" s="1"/>
  <c r="AN251" i="7"/>
  <c r="AH122" i="7"/>
  <c r="AH123" i="7" s="1"/>
  <c r="AH134" i="7" s="1"/>
  <c r="AN122" i="7"/>
  <c r="AN123" i="7" s="1"/>
  <c r="AN134" i="7" s="1"/>
  <c r="AP122" i="7"/>
  <c r="AP123" i="7" s="1"/>
  <c r="AP134" i="7" s="1"/>
  <c r="AD118" i="7"/>
  <c r="AL118" i="7"/>
  <c r="AM118" i="7"/>
  <c r="AE118" i="7"/>
  <c r="AO118" i="7"/>
  <c r="AI118" i="7"/>
  <c r="AG118" i="7"/>
  <c r="AJ118" i="7"/>
  <c r="AB118" i="7"/>
  <c r="AK118" i="7"/>
  <c r="AF237" i="7" l="1"/>
  <c r="AF238" i="7" s="1"/>
  <c r="AF245" i="7" s="1"/>
  <c r="AF247" i="7" s="1"/>
  <c r="AF150" i="7" s="1"/>
  <c r="AF149" i="7"/>
  <c r="AC237" i="7"/>
  <c r="AC238" i="7" s="1"/>
  <c r="AC245" i="7" s="1"/>
  <c r="AC247" i="7" s="1"/>
  <c r="AC150" i="7" s="1"/>
  <c r="AC149" i="7"/>
  <c r="AN226" i="7"/>
  <c r="AN228" i="7" s="1"/>
  <c r="AH226" i="7"/>
  <c r="AH228" i="7" s="1"/>
  <c r="AP226" i="7"/>
  <c r="AP228" i="7" s="1"/>
  <c r="AI236" i="7"/>
  <c r="AI218" i="7"/>
  <c r="AI219" i="7" s="1"/>
  <c r="AD236" i="7"/>
  <c r="AD218" i="7"/>
  <c r="AD219" i="7" s="1"/>
  <c r="AK236" i="7"/>
  <c r="AK218" i="7"/>
  <c r="AK219" i="7" s="1"/>
  <c r="AL236" i="7"/>
  <c r="AL218" i="7"/>
  <c r="AL219" i="7" s="1"/>
  <c r="AB236" i="7"/>
  <c r="AB218" i="7"/>
  <c r="AB219" i="7" s="1"/>
  <c r="AO236" i="7"/>
  <c r="AO218" i="7"/>
  <c r="AO219" i="7" s="1"/>
  <c r="AE236" i="7"/>
  <c r="AE218" i="7"/>
  <c r="AE219" i="7" s="1"/>
  <c r="AJ236" i="7"/>
  <c r="AJ218" i="7"/>
  <c r="AJ219" i="7" s="1"/>
  <c r="AG236" i="7"/>
  <c r="AG218" i="7"/>
  <c r="AG219" i="7" s="1"/>
  <c r="AM236" i="7"/>
  <c r="AM218" i="7"/>
  <c r="AM219" i="7" s="1"/>
  <c r="AE280" i="7"/>
  <c r="AI280" i="7"/>
  <c r="AJ280" i="7"/>
  <c r="AK280" i="7"/>
  <c r="AL280" i="7"/>
  <c r="AB280" i="7"/>
  <c r="AO280" i="7"/>
  <c r="AD280" i="7"/>
  <c r="V88" i="7"/>
  <c r="V116" i="7" s="1"/>
  <c r="AG280" i="7"/>
  <c r="AM280" i="7"/>
  <c r="AB165" i="7"/>
  <c r="AB166" i="7" s="1"/>
  <c r="AB169" i="7" s="1"/>
  <c r="AB251" i="7"/>
  <c r="AJ165" i="7"/>
  <c r="AJ166" i="7" s="1"/>
  <c r="AJ169" i="7" s="1"/>
  <c r="AJ251" i="7"/>
  <c r="AE165" i="7"/>
  <c r="AE166" i="7" s="1"/>
  <c r="AE169" i="7" s="1"/>
  <c r="AE251" i="7"/>
  <c r="AG165" i="7"/>
  <c r="AG166" i="7" s="1"/>
  <c r="AG169" i="7" s="1"/>
  <c r="AG251" i="7"/>
  <c r="AM165" i="7"/>
  <c r="AM166" i="7" s="1"/>
  <c r="AM169" i="7" s="1"/>
  <c r="AM251" i="7"/>
  <c r="AK165" i="7"/>
  <c r="AK166" i="7" s="1"/>
  <c r="AK169" i="7" s="1"/>
  <c r="AK251" i="7"/>
  <c r="AI165" i="7"/>
  <c r="AI166" i="7" s="1"/>
  <c r="AI169" i="7" s="1"/>
  <c r="AI251" i="7"/>
  <c r="AL165" i="7"/>
  <c r="AL166" i="7" s="1"/>
  <c r="AL169" i="7" s="1"/>
  <c r="AL251" i="7"/>
  <c r="AO165" i="7"/>
  <c r="AO166" i="7" s="1"/>
  <c r="AO169" i="7" s="1"/>
  <c r="AO251" i="7"/>
  <c r="AD165" i="7"/>
  <c r="AD166" i="7" s="1"/>
  <c r="AD169" i="7" s="1"/>
  <c r="AD251" i="7"/>
  <c r="AJ122" i="7"/>
  <c r="AJ123" i="7" s="1"/>
  <c r="AJ134" i="7" s="1"/>
  <c r="AO122" i="7"/>
  <c r="AO123" i="7" s="1"/>
  <c r="AO134" i="7" s="1"/>
  <c r="AD122" i="7"/>
  <c r="AD123" i="7" s="1"/>
  <c r="AD134" i="7" s="1"/>
  <c r="AB122" i="7"/>
  <c r="AB123" i="7" s="1"/>
  <c r="AB134" i="7" s="1"/>
  <c r="AI122" i="7"/>
  <c r="AI123" i="7" s="1"/>
  <c r="AI134" i="7" s="1"/>
  <c r="AE122" i="7"/>
  <c r="AE123" i="7" s="1"/>
  <c r="AE134" i="7" s="1"/>
  <c r="AL122" i="7"/>
  <c r="AL123" i="7" s="1"/>
  <c r="AL134" i="7" s="1"/>
  <c r="AK122" i="7"/>
  <c r="AK123" i="7" s="1"/>
  <c r="AK134" i="7" s="1"/>
  <c r="AG122" i="7"/>
  <c r="AG123" i="7" s="1"/>
  <c r="AG134" i="7" s="1"/>
  <c r="AM122" i="7"/>
  <c r="AM123" i="7" s="1"/>
  <c r="AM134" i="7" s="1"/>
  <c r="Y118" i="7"/>
  <c r="Z118" i="7"/>
  <c r="W118" i="7"/>
  <c r="X118" i="7"/>
  <c r="AF152" i="7" l="1"/>
  <c r="AC152" i="7"/>
  <c r="AH237" i="7"/>
  <c r="AH238" i="7" s="1"/>
  <c r="AH245" i="7" s="1"/>
  <c r="AH247" i="7" s="1"/>
  <c r="AH150" i="7" s="1"/>
  <c r="AH149" i="7"/>
  <c r="AN237" i="7"/>
  <c r="AN238" i="7" s="1"/>
  <c r="AN245" i="7" s="1"/>
  <c r="AN247" i="7" s="1"/>
  <c r="AN150" i="7" s="1"/>
  <c r="AN149" i="7"/>
  <c r="AP237" i="7"/>
  <c r="AP238" i="7" s="1"/>
  <c r="AP245" i="7" s="1"/>
  <c r="AP247" i="7" s="1"/>
  <c r="AP150" i="7" s="1"/>
  <c r="AP149" i="7"/>
  <c r="AG226" i="7"/>
  <c r="AG228" i="7" s="1"/>
  <c r="AB226" i="7"/>
  <c r="AB228" i="7" s="1"/>
  <c r="AI226" i="7"/>
  <c r="AI228" i="7" s="1"/>
  <c r="AD226" i="7"/>
  <c r="AD228" i="7" s="1"/>
  <c r="AE226" i="7"/>
  <c r="AE228" i="7" s="1"/>
  <c r="AK226" i="7"/>
  <c r="AK228" i="7" s="1"/>
  <c r="AM226" i="7"/>
  <c r="AM228" i="7" s="1"/>
  <c r="AJ226" i="7"/>
  <c r="AJ228" i="7" s="1"/>
  <c r="AO226" i="7"/>
  <c r="AO228" i="7" s="1"/>
  <c r="AL226" i="7"/>
  <c r="AL228" i="7" s="1"/>
  <c r="Y236" i="7"/>
  <c r="Y218" i="7"/>
  <c r="X236" i="7"/>
  <c r="X218" i="7"/>
  <c r="Z236" i="7"/>
  <c r="Z218" i="7"/>
  <c r="W236" i="7"/>
  <c r="W218" i="7"/>
  <c r="Z280" i="7"/>
  <c r="Y280" i="7"/>
  <c r="X280" i="7"/>
  <c r="W280" i="7"/>
  <c r="Y165" i="7"/>
  <c r="Y166" i="7" s="1"/>
  <c r="Y169" i="7" s="1"/>
  <c r="Y251" i="7"/>
  <c r="X165" i="7"/>
  <c r="X166" i="7" s="1"/>
  <c r="X169" i="7" s="1"/>
  <c r="X251" i="7"/>
  <c r="W165" i="7"/>
  <c r="W166" i="7" s="1"/>
  <c r="W169" i="7" s="1"/>
  <c r="W251" i="7"/>
  <c r="Z165" i="7"/>
  <c r="Z166" i="7" s="1"/>
  <c r="Z169" i="7" s="1"/>
  <c r="Z251" i="7"/>
  <c r="X122" i="7"/>
  <c r="X123" i="7" s="1"/>
  <c r="X134" i="7" s="1"/>
  <c r="Z122" i="7"/>
  <c r="Z123" i="7" s="1"/>
  <c r="Z134" i="7" s="1"/>
  <c r="W122" i="7"/>
  <c r="W123" i="7" s="1"/>
  <c r="W134" i="7" s="1"/>
  <c r="Y122" i="7"/>
  <c r="Y123" i="7" s="1"/>
  <c r="Y134" i="7" s="1"/>
  <c r="U118" i="7"/>
  <c r="AN253" i="7"/>
  <c r="AN254" i="7" s="1"/>
  <c r="AN275" i="7" s="1"/>
  <c r="AP253" i="7"/>
  <c r="AP254" i="7" s="1"/>
  <c r="AP275" i="7" s="1"/>
  <c r="AL253" i="7"/>
  <c r="AL254" i="7" s="1"/>
  <c r="AL275" i="7" s="1"/>
  <c r="AH253" i="7"/>
  <c r="AH254" i="7" s="1"/>
  <c r="AH275" i="7" s="1"/>
  <c r="AO253" i="7"/>
  <c r="AO254" i="7" s="1"/>
  <c r="AO275" i="7" s="1"/>
  <c r="AK253" i="7"/>
  <c r="AK254" i="7" s="1"/>
  <c r="AK275" i="7" s="1"/>
  <c r="AG253" i="7"/>
  <c r="AG254" i="7" s="1"/>
  <c r="AG275" i="7" s="1"/>
  <c r="AJ253" i="7"/>
  <c r="AJ254" i="7" s="1"/>
  <c r="AJ275" i="7" s="1"/>
  <c r="AM253" i="7"/>
  <c r="AM254" i="7" s="1"/>
  <c r="AM275" i="7" s="1"/>
  <c r="AI253" i="7"/>
  <c r="AI254" i="7" s="1"/>
  <c r="AI275" i="7" s="1"/>
  <c r="AH152" i="7" l="1"/>
  <c r="AP152" i="7"/>
  <c r="AN152" i="7"/>
  <c r="AJ237" i="7"/>
  <c r="AJ238" i="7" s="1"/>
  <c r="AJ149" i="7"/>
  <c r="AI237" i="7"/>
  <c r="AI238" i="7" s="1"/>
  <c r="AI245" i="7" s="1"/>
  <c r="AI247" i="7" s="1"/>
  <c r="AI150" i="7" s="1"/>
  <c r="AI149" i="7"/>
  <c r="AM237" i="7"/>
  <c r="AM238" i="7" s="1"/>
  <c r="AM245" i="7" s="1"/>
  <c r="AM247" i="7" s="1"/>
  <c r="AM150" i="7" s="1"/>
  <c r="AM149" i="7"/>
  <c r="AL237" i="7"/>
  <c r="AL238" i="7" s="1"/>
  <c r="AL245" i="7" s="1"/>
  <c r="AL247" i="7" s="1"/>
  <c r="AL150" i="7" s="1"/>
  <c r="AL149" i="7"/>
  <c r="AK237" i="7"/>
  <c r="AK238" i="7" s="1"/>
  <c r="AK245" i="7" s="1"/>
  <c r="AK247" i="7" s="1"/>
  <c r="AK150" i="7" s="1"/>
  <c r="AK149" i="7"/>
  <c r="AB237" i="7"/>
  <c r="AB238" i="7" s="1"/>
  <c r="AB245" i="7" s="1"/>
  <c r="AB247" i="7" s="1"/>
  <c r="AB150" i="7" s="1"/>
  <c r="AB149" i="7"/>
  <c r="AD237" i="7"/>
  <c r="AD238" i="7" s="1"/>
  <c r="AD245" i="7" s="1"/>
  <c r="AD247" i="7" s="1"/>
  <c r="AD150" i="7" s="1"/>
  <c r="AD149" i="7"/>
  <c r="AO237" i="7"/>
  <c r="AO238" i="7" s="1"/>
  <c r="AO245" i="7" s="1"/>
  <c r="AO247" i="7" s="1"/>
  <c r="AO150" i="7" s="1"/>
  <c r="AO149" i="7"/>
  <c r="AE237" i="7"/>
  <c r="AE238" i="7" s="1"/>
  <c r="AE245" i="7" s="1"/>
  <c r="AE247" i="7" s="1"/>
  <c r="AE150" i="7" s="1"/>
  <c r="AE149" i="7"/>
  <c r="AG237" i="7"/>
  <c r="AG238" i="7" s="1"/>
  <c r="AG245" i="7" s="1"/>
  <c r="AG247" i="7" s="1"/>
  <c r="AG150" i="7" s="1"/>
  <c r="AG149" i="7"/>
  <c r="AJ245" i="7"/>
  <c r="AJ247" i="7" s="1"/>
  <c r="AJ150" i="7" s="1"/>
  <c r="U236" i="7"/>
  <c r="U218" i="7"/>
  <c r="U280" i="7"/>
  <c r="AP277" i="7"/>
  <c r="AG277" i="7"/>
  <c r="AK277" i="7"/>
  <c r="AM277" i="7"/>
  <c r="AO277" i="7"/>
  <c r="AN277" i="7"/>
  <c r="AL277" i="7"/>
  <c r="AI277" i="7"/>
  <c r="AJ277" i="7"/>
  <c r="AH277" i="7"/>
  <c r="U165" i="7"/>
  <c r="U166" i="7" s="1"/>
  <c r="U169" i="7" s="1"/>
  <c r="U251" i="7"/>
  <c r="U122" i="7"/>
  <c r="U123" i="7" s="1"/>
  <c r="U134" i="7" s="1"/>
  <c r="AK282" i="7"/>
  <c r="AJ282" i="7"/>
  <c r="AG282" i="7"/>
  <c r="AI282" i="7"/>
  <c r="AL282" i="7"/>
  <c r="AO282" i="7"/>
  <c r="AH282" i="7"/>
  <c r="AN282" i="7"/>
  <c r="AP282" i="7"/>
  <c r="AM282" i="7"/>
  <c r="AE152" i="7" l="1"/>
  <c r="AD152" i="7"/>
  <c r="AK152" i="7"/>
  <c r="AM152" i="7"/>
  <c r="AG152" i="7"/>
  <c r="AO152" i="7"/>
  <c r="AB152" i="7"/>
  <c r="AL152" i="7"/>
  <c r="AI152" i="7"/>
  <c r="AJ152" i="7"/>
  <c r="AO179" i="7"/>
  <c r="AJ179" i="7"/>
  <c r="AJ283" i="7"/>
  <c r="AL283" i="7"/>
  <c r="AL179" i="7"/>
  <c r="AK283" i="7"/>
  <c r="AK179" i="7"/>
  <c r="AO283" i="7"/>
  <c r="AN179" i="7"/>
  <c r="AN283" i="7"/>
  <c r="AI179" i="7"/>
  <c r="AI283" i="7"/>
  <c r="AH283" i="7"/>
  <c r="AH179" i="7"/>
  <c r="AG179" i="7"/>
  <c r="AG283" i="7"/>
  <c r="AM179" i="7"/>
  <c r="AM283" i="7"/>
  <c r="AP283" i="7"/>
  <c r="AP179" i="7"/>
  <c r="V118" i="7" l="1"/>
  <c r="V236" i="7" l="1"/>
  <c r="V218" i="7"/>
  <c r="V280" i="7"/>
  <c r="V165" i="7"/>
  <c r="V166" i="7" s="1"/>
  <c r="V169" i="7" s="1"/>
  <c r="V251" i="7"/>
  <c r="V122" i="7"/>
  <c r="V123" i="7" s="1"/>
  <c r="V134" i="7" s="1"/>
  <c r="M454" i="7" l="1"/>
  <c r="M458" i="7" s="1"/>
  <c r="M316" i="7"/>
  <c r="M319" i="7"/>
  <c r="M317" i="7"/>
  <c r="M322" i="7" l="1"/>
  <c r="AD253" i="7"/>
  <c r="AD254" i="7" s="1"/>
  <c r="AD275" i="7" s="1"/>
  <c r="AD282" i="7"/>
  <c r="AB253" i="7"/>
  <c r="AB254" i="7" s="1"/>
  <c r="AB275" i="7" s="1"/>
  <c r="AB282" i="7"/>
  <c r="AF253" i="7"/>
  <c r="AF254" i="7" s="1"/>
  <c r="AF275" i="7" s="1"/>
  <c r="AF282" i="7"/>
  <c r="AC253" i="7"/>
  <c r="AC254" i="7" s="1"/>
  <c r="AC275" i="7" s="1"/>
  <c r="AC282" i="7"/>
  <c r="AE253" i="7"/>
  <c r="AE254" i="7" s="1"/>
  <c r="AE275" i="7" s="1"/>
  <c r="AE282" i="7"/>
  <c r="AB277" i="7" l="1"/>
  <c r="AE277" i="7"/>
  <c r="AF277" i="7"/>
  <c r="AD277" i="7"/>
  <c r="AC277" i="7"/>
  <c r="AD179" i="7" l="1"/>
  <c r="AD283" i="7"/>
  <c r="AF283" i="7"/>
  <c r="AF179" i="7"/>
  <c r="AE179" i="7"/>
  <c r="AE283" i="7"/>
  <c r="AC283" i="7"/>
  <c r="AC179" i="7"/>
  <c r="AB283" i="7"/>
  <c r="AB179" i="7"/>
  <c r="J88" i="7" l="1"/>
  <c r="J116" i="7" s="1"/>
  <c r="K88" i="7" l="1"/>
  <c r="K116" i="7" s="1"/>
  <c r="T88" i="7"/>
  <c r="T116" i="7" s="1"/>
  <c r="C88" i="7"/>
  <c r="C116" i="7" s="1"/>
  <c r="C118" i="7" s="1"/>
  <c r="D88" i="7"/>
  <c r="D116" i="7" s="1"/>
  <c r="R88" i="7"/>
  <c r="R116" i="7" s="1"/>
  <c r="I88" i="7"/>
  <c r="I116" i="7" s="1"/>
  <c r="G88" i="7"/>
  <c r="G116" i="7" s="1"/>
  <c r="Q88" i="7"/>
  <c r="Q116" i="7" s="1"/>
  <c r="M88" i="7"/>
  <c r="M116" i="7" s="1"/>
  <c r="F88" i="7"/>
  <c r="F116" i="7" s="1"/>
  <c r="P88" i="7"/>
  <c r="P116" i="7" s="1"/>
  <c r="H88" i="7"/>
  <c r="H116" i="7" s="1"/>
  <c r="N88" i="7"/>
  <c r="N116" i="7" s="1"/>
  <c r="O88" i="7"/>
  <c r="O116" i="7" s="1"/>
  <c r="L88" i="7"/>
  <c r="L116" i="7" s="1"/>
  <c r="S88" i="7"/>
  <c r="S116" i="7" s="1"/>
  <c r="E88" i="7"/>
  <c r="E116" i="7" s="1"/>
  <c r="C236" i="7" l="1"/>
  <c r="C218" i="7"/>
  <c r="B662" i="7"/>
  <c r="C251" i="7"/>
  <c r="C280" i="7"/>
  <c r="C122" i="7"/>
  <c r="C123" i="7" s="1"/>
  <c r="C134" i="7" s="1"/>
  <c r="C165" i="7"/>
  <c r="C166" i="7" s="1"/>
  <c r="C169" i="7" s="1"/>
  <c r="B664" i="7" l="1"/>
  <c r="B97" i="7"/>
  <c r="B102" i="7" s="1"/>
  <c r="B108" i="7" s="1"/>
  <c r="B111" i="7"/>
  <c r="B113" i="7" s="1"/>
  <c r="B138" i="7" s="1"/>
  <c r="B773" i="7" l="1"/>
  <c r="C774" i="7" s="1"/>
  <c r="AA663" i="7"/>
  <c r="C661" i="7"/>
  <c r="C664" i="7" s="1"/>
  <c r="C773" i="7" s="1"/>
  <c r="D774" i="7" s="1"/>
  <c r="B145" i="7"/>
  <c r="B148" i="7" s="1"/>
  <c r="B152" i="7" s="1"/>
  <c r="B114" i="7"/>
  <c r="D118" i="7"/>
  <c r="D232" i="7" l="1"/>
  <c r="D214" i="7"/>
  <c r="D143" i="7"/>
  <c r="D145" i="7" s="1"/>
  <c r="D148" i="7" s="1"/>
  <c r="AA142" i="7"/>
  <c r="AA97" i="7"/>
  <c r="AA102" i="7" s="1"/>
  <c r="AA108" i="7" s="1"/>
  <c r="AA116" i="7" s="1"/>
  <c r="AA117" i="7"/>
  <c r="C214" i="7"/>
  <c r="C219" i="7" s="1"/>
  <c r="C226" i="7" s="1"/>
  <c r="C228" i="7" s="1"/>
  <c r="C232" i="7"/>
  <c r="C143" i="7"/>
  <c r="C145" i="7" s="1"/>
  <c r="C148" i="7" s="1"/>
  <c r="D236" i="7"/>
  <c r="D218" i="7"/>
  <c r="D219" i="7" s="1"/>
  <c r="F457" i="7"/>
  <c r="F453" i="7"/>
  <c r="F315" i="7"/>
  <c r="G315" i="7" s="1"/>
  <c r="G322" i="7" s="1"/>
  <c r="F316" i="7"/>
  <c r="F318" i="7"/>
  <c r="F321" i="7"/>
  <c r="F320" i="7"/>
  <c r="F452" i="7"/>
  <c r="F319" i="7"/>
  <c r="F317" i="7"/>
  <c r="B116" i="7"/>
  <c r="B118" i="7" s="1"/>
  <c r="F455" i="7"/>
  <c r="F454" i="7"/>
  <c r="F451" i="7"/>
  <c r="G451" i="7" s="1"/>
  <c r="G458" i="7" s="1"/>
  <c r="F456" i="7"/>
  <c r="D661" i="7"/>
  <c r="D280" i="7"/>
  <c r="D165" i="7"/>
  <c r="D166" i="7" s="1"/>
  <c r="D169" i="7" s="1"/>
  <c r="D251" i="7"/>
  <c r="D122" i="7"/>
  <c r="D123" i="7" s="1"/>
  <c r="D134" i="7" s="1"/>
  <c r="E118" i="7"/>
  <c r="AN591" i="7" l="1"/>
  <c r="AN592" i="7" s="1"/>
  <c r="AN171" i="7" s="1"/>
  <c r="X591" i="7"/>
  <c r="X592" i="7" s="1"/>
  <c r="X171" i="7" s="1"/>
  <c r="H591" i="7"/>
  <c r="H592" i="7" s="1"/>
  <c r="H171" i="7" s="1"/>
  <c r="AI591" i="7"/>
  <c r="AI592" i="7" s="1"/>
  <c r="AI171" i="7" s="1"/>
  <c r="S591" i="7"/>
  <c r="S592" i="7" s="1"/>
  <c r="S171" i="7" s="1"/>
  <c r="C591" i="7"/>
  <c r="AH591" i="7"/>
  <c r="AH592" i="7" s="1"/>
  <c r="AH171" i="7" s="1"/>
  <c r="R591" i="7"/>
  <c r="R592" i="7" s="1"/>
  <c r="R171" i="7" s="1"/>
  <c r="I591" i="7"/>
  <c r="I592" i="7" s="1"/>
  <c r="I171" i="7" s="1"/>
  <c r="U591" i="7"/>
  <c r="U592" i="7" s="1"/>
  <c r="U171" i="7" s="1"/>
  <c r="AJ591" i="7"/>
  <c r="AJ592" i="7" s="1"/>
  <c r="AJ171" i="7" s="1"/>
  <c r="T591" i="7"/>
  <c r="T592" i="7" s="1"/>
  <c r="T171" i="7" s="1"/>
  <c r="D591" i="7"/>
  <c r="D592" i="7" s="1"/>
  <c r="D171" i="7" s="1"/>
  <c r="AE591" i="7"/>
  <c r="AE592" i="7" s="1"/>
  <c r="AE171" i="7" s="1"/>
  <c r="O591" i="7"/>
  <c r="O592" i="7" s="1"/>
  <c r="O171" i="7" s="1"/>
  <c r="N591" i="7"/>
  <c r="N592" i="7" s="1"/>
  <c r="N171" i="7" s="1"/>
  <c r="AD591" i="7"/>
  <c r="AD592" i="7" s="1"/>
  <c r="AD171" i="7" s="1"/>
  <c r="F591" i="7"/>
  <c r="F592" i="7" s="1"/>
  <c r="F171" i="7" s="1"/>
  <c r="E591" i="7"/>
  <c r="E592" i="7" s="1"/>
  <c r="E171" i="7" s="1"/>
  <c r="AG591" i="7"/>
  <c r="AG592" i="7" s="1"/>
  <c r="AG171" i="7" s="1"/>
  <c r="AF591" i="7"/>
  <c r="AF592" i="7" s="1"/>
  <c r="AF171" i="7" s="1"/>
  <c r="P591" i="7"/>
  <c r="P592" i="7" s="1"/>
  <c r="P171" i="7" s="1"/>
  <c r="J591" i="7"/>
  <c r="J592" i="7" s="1"/>
  <c r="J171" i="7" s="1"/>
  <c r="AA591" i="7"/>
  <c r="AA592" i="7" s="1"/>
  <c r="AA171" i="7" s="1"/>
  <c r="K591" i="7"/>
  <c r="K592" i="7" s="1"/>
  <c r="K171" i="7" s="1"/>
  <c r="AP591" i="7"/>
  <c r="AP592" i="7" s="1"/>
  <c r="AP171" i="7" s="1"/>
  <c r="Z591" i="7"/>
  <c r="Z592" i="7" s="1"/>
  <c r="Z171" i="7" s="1"/>
  <c r="AO591" i="7"/>
  <c r="AO592" i="7" s="1"/>
  <c r="AO171" i="7" s="1"/>
  <c r="Q591" i="7"/>
  <c r="Q592" i="7" s="1"/>
  <c r="Q171" i="7" s="1"/>
  <c r="AC591" i="7"/>
  <c r="AC592" i="7" s="1"/>
  <c r="AC171" i="7" s="1"/>
  <c r="AB591" i="7"/>
  <c r="AB592" i="7" s="1"/>
  <c r="AB171" i="7" s="1"/>
  <c r="L591" i="7"/>
  <c r="L592" i="7" s="1"/>
  <c r="L171" i="7" s="1"/>
  <c r="AM591" i="7"/>
  <c r="AM592" i="7" s="1"/>
  <c r="AM171" i="7" s="1"/>
  <c r="W591" i="7"/>
  <c r="W592" i="7" s="1"/>
  <c r="W171" i="7" s="1"/>
  <c r="G591" i="7"/>
  <c r="G592" i="7" s="1"/>
  <c r="G171" i="7" s="1"/>
  <c r="AL591" i="7"/>
  <c r="AL592" i="7" s="1"/>
  <c r="AL171" i="7" s="1"/>
  <c r="V591" i="7"/>
  <c r="V592" i="7" s="1"/>
  <c r="V171" i="7" s="1"/>
  <c r="Y591" i="7"/>
  <c r="Y592" i="7" s="1"/>
  <c r="Y171" i="7" s="1"/>
  <c r="AK591" i="7"/>
  <c r="AK592" i="7" s="1"/>
  <c r="AK171" i="7" s="1"/>
  <c r="M591" i="7"/>
  <c r="M592" i="7" s="1"/>
  <c r="M171" i="7" s="1"/>
  <c r="H321" i="7"/>
  <c r="K321" i="7" s="1"/>
  <c r="L321" i="7" s="1"/>
  <c r="H319" i="7"/>
  <c r="K319" i="7" s="1"/>
  <c r="L319" i="7" s="1"/>
  <c r="H317" i="7"/>
  <c r="K317" i="7" s="1"/>
  <c r="L317" i="7" s="1"/>
  <c r="H318" i="7"/>
  <c r="K318" i="7" s="1"/>
  <c r="L318" i="7" s="1"/>
  <c r="H320" i="7"/>
  <c r="K320" i="7" s="1"/>
  <c r="L320" i="7" s="1"/>
  <c r="H316" i="7"/>
  <c r="K316" i="7" s="1"/>
  <c r="L316" i="7" s="1"/>
  <c r="H315" i="7"/>
  <c r="AO597" i="7"/>
  <c r="AO598" i="7" s="1"/>
  <c r="AO172" i="7" s="1"/>
  <c r="Y597" i="7"/>
  <c r="Y598" i="7" s="1"/>
  <c r="Y172" i="7" s="1"/>
  <c r="I597" i="7"/>
  <c r="I598" i="7" s="1"/>
  <c r="I172" i="7" s="1"/>
  <c r="AF597" i="7"/>
  <c r="AF598" i="7" s="1"/>
  <c r="AF172" i="7" s="1"/>
  <c r="P597" i="7"/>
  <c r="P598" i="7" s="1"/>
  <c r="P172" i="7" s="1"/>
  <c r="AM597" i="7"/>
  <c r="AM598" i="7" s="1"/>
  <c r="AM172" i="7" s="1"/>
  <c r="W597" i="7"/>
  <c r="W598" i="7" s="1"/>
  <c r="W172" i="7" s="1"/>
  <c r="G597" i="7"/>
  <c r="G598" i="7" s="1"/>
  <c r="G172" i="7" s="1"/>
  <c r="AL597" i="7"/>
  <c r="AL598" i="7" s="1"/>
  <c r="AL172" i="7" s="1"/>
  <c r="V597" i="7"/>
  <c r="V598" i="7" s="1"/>
  <c r="V172" i="7" s="1"/>
  <c r="AK597" i="7"/>
  <c r="AK598" i="7" s="1"/>
  <c r="AK172" i="7" s="1"/>
  <c r="U597" i="7"/>
  <c r="U598" i="7" s="1"/>
  <c r="U172" i="7" s="1"/>
  <c r="E597" i="7"/>
  <c r="E598" i="7" s="1"/>
  <c r="E172" i="7" s="1"/>
  <c r="AB597" i="7"/>
  <c r="AB598" i="7" s="1"/>
  <c r="AB172" i="7" s="1"/>
  <c r="L597" i="7"/>
  <c r="L598" i="7" s="1"/>
  <c r="L172" i="7" s="1"/>
  <c r="AI597" i="7"/>
  <c r="AI598" i="7" s="1"/>
  <c r="AI172" i="7" s="1"/>
  <c r="S597" i="7"/>
  <c r="S598" i="7" s="1"/>
  <c r="S172" i="7" s="1"/>
  <c r="C597" i="7"/>
  <c r="AP597" i="7"/>
  <c r="AP598" i="7" s="1"/>
  <c r="AP172" i="7" s="1"/>
  <c r="AH597" i="7"/>
  <c r="AH598" i="7" s="1"/>
  <c r="AH172" i="7" s="1"/>
  <c r="AG597" i="7"/>
  <c r="AG598" i="7" s="1"/>
  <c r="AG172" i="7" s="1"/>
  <c r="Q597" i="7"/>
  <c r="Q598" i="7" s="1"/>
  <c r="Q172" i="7" s="1"/>
  <c r="AN597" i="7"/>
  <c r="AN598" i="7" s="1"/>
  <c r="AN172" i="7" s="1"/>
  <c r="X597" i="7"/>
  <c r="X598" i="7" s="1"/>
  <c r="X172" i="7" s="1"/>
  <c r="H597" i="7"/>
  <c r="H598" i="7" s="1"/>
  <c r="H172" i="7" s="1"/>
  <c r="AE597" i="7"/>
  <c r="AE598" i="7" s="1"/>
  <c r="AE172" i="7" s="1"/>
  <c r="O597" i="7"/>
  <c r="O598" i="7" s="1"/>
  <c r="O172" i="7" s="1"/>
  <c r="AD597" i="7"/>
  <c r="AD598" i="7" s="1"/>
  <c r="AD172" i="7" s="1"/>
  <c r="Z597" i="7"/>
  <c r="Z598" i="7" s="1"/>
  <c r="Z172" i="7" s="1"/>
  <c r="F597" i="7"/>
  <c r="F598" i="7" s="1"/>
  <c r="F172" i="7" s="1"/>
  <c r="AC597" i="7"/>
  <c r="AC598" i="7" s="1"/>
  <c r="AC172" i="7" s="1"/>
  <c r="M597" i="7"/>
  <c r="M598" i="7" s="1"/>
  <c r="M172" i="7" s="1"/>
  <c r="AJ597" i="7"/>
  <c r="AJ598" i="7" s="1"/>
  <c r="AJ172" i="7" s="1"/>
  <c r="T597" i="7"/>
  <c r="T598" i="7" s="1"/>
  <c r="T172" i="7" s="1"/>
  <c r="D597" i="7"/>
  <c r="D598" i="7" s="1"/>
  <c r="D172" i="7" s="1"/>
  <c r="AA597" i="7"/>
  <c r="AA598" i="7" s="1"/>
  <c r="AA172" i="7" s="1"/>
  <c r="K597" i="7"/>
  <c r="K598" i="7" s="1"/>
  <c r="K172" i="7" s="1"/>
  <c r="N597" i="7"/>
  <c r="N598" i="7" s="1"/>
  <c r="N172" i="7" s="1"/>
  <c r="J597" i="7"/>
  <c r="J598" i="7" s="1"/>
  <c r="J172" i="7" s="1"/>
  <c r="R597" i="7"/>
  <c r="R598" i="7" s="1"/>
  <c r="R172" i="7" s="1"/>
  <c r="H451" i="7"/>
  <c r="H455" i="7"/>
  <c r="K455" i="7" s="1"/>
  <c r="L455" i="7" s="1"/>
  <c r="H454" i="7"/>
  <c r="K454" i="7" s="1"/>
  <c r="L454" i="7" s="1"/>
  <c r="H456" i="7"/>
  <c r="K456" i="7" s="1"/>
  <c r="L456" i="7" s="1"/>
  <c r="H457" i="7"/>
  <c r="K457" i="7" s="1"/>
  <c r="L457" i="7" s="1"/>
  <c r="H452" i="7"/>
  <c r="K452" i="7" s="1"/>
  <c r="L452" i="7" s="1"/>
  <c r="H453" i="7"/>
  <c r="K453" i="7" s="1"/>
  <c r="L453" i="7" s="1"/>
  <c r="C237" i="7"/>
  <c r="C238" i="7" s="1"/>
  <c r="C245" i="7" s="1"/>
  <c r="C247" i="7" s="1"/>
  <c r="C150" i="7" s="1"/>
  <c r="C149" i="7"/>
  <c r="AA118" i="7"/>
  <c r="B122" i="7"/>
  <c r="B123" i="7" s="1"/>
  <c r="B134" i="7" s="1"/>
  <c r="B165" i="7"/>
  <c r="B166" i="7" s="1"/>
  <c r="D226" i="7"/>
  <c r="D228" i="7" s="1"/>
  <c r="E236" i="7"/>
  <c r="E218" i="7"/>
  <c r="F458" i="7"/>
  <c r="C322" i="7"/>
  <c r="C458" i="7"/>
  <c r="F322" i="7"/>
  <c r="D664" i="7"/>
  <c r="E251" i="7"/>
  <c r="E280" i="7"/>
  <c r="E122" i="7"/>
  <c r="E123" i="7" s="1"/>
  <c r="E134" i="7" s="1"/>
  <c r="E165" i="7"/>
  <c r="E166" i="7" s="1"/>
  <c r="E169" i="7" s="1"/>
  <c r="C598" i="7" l="1"/>
  <c r="C172" i="7" s="1"/>
  <c r="I458" i="7"/>
  <c r="V173" i="7"/>
  <c r="V284" i="7"/>
  <c r="AM173" i="7"/>
  <c r="AM284" i="7"/>
  <c r="AM286" i="7" s="1"/>
  <c r="AM307" i="7" s="1"/>
  <c r="AM309" i="7" s="1"/>
  <c r="Q173" i="7"/>
  <c r="Q284" i="7"/>
  <c r="K173" i="7"/>
  <c r="K284" i="7"/>
  <c r="AF173" i="7"/>
  <c r="AF284" i="7"/>
  <c r="AF286" i="7" s="1"/>
  <c r="AF307" i="7" s="1"/>
  <c r="AF309" i="7" s="1"/>
  <c r="AD173" i="7"/>
  <c r="AD284" i="7"/>
  <c r="AD286" i="7" s="1"/>
  <c r="AD307" i="7" s="1"/>
  <c r="AD309" i="7" s="1"/>
  <c r="D173" i="7"/>
  <c r="D284" i="7"/>
  <c r="I173" i="7"/>
  <c r="I284" i="7"/>
  <c r="S173" i="7"/>
  <c r="S284" i="7"/>
  <c r="AN173" i="7"/>
  <c r="AN284" i="7"/>
  <c r="AN286" i="7" s="1"/>
  <c r="AN307" i="7" s="1"/>
  <c r="AN309" i="7" s="1"/>
  <c r="K451" i="7"/>
  <c r="L451" i="7" s="1"/>
  <c r="H458" i="7"/>
  <c r="M173" i="7"/>
  <c r="M284" i="7"/>
  <c r="AL173" i="7"/>
  <c r="AL284" i="7"/>
  <c r="AL286" i="7" s="1"/>
  <c r="AL307" i="7" s="1"/>
  <c r="AL309" i="7" s="1"/>
  <c r="L173" i="7"/>
  <c r="L284" i="7"/>
  <c r="AO173" i="7"/>
  <c r="AO284" i="7"/>
  <c r="AO286" i="7" s="1"/>
  <c r="AO307" i="7" s="1"/>
  <c r="AO309" i="7" s="1"/>
  <c r="AA173" i="7"/>
  <c r="AA284" i="7"/>
  <c r="AG173" i="7"/>
  <c r="AG284" i="7"/>
  <c r="AG286" i="7" s="1"/>
  <c r="AG307" i="7" s="1"/>
  <c r="AG309" i="7" s="1"/>
  <c r="N173" i="7"/>
  <c r="N284" i="7"/>
  <c r="T173" i="7"/>
  <c r="T284" i="7"/>
  <c r="R173" i="7"/>
  <c r="R284" i="7"/>
  <c r="AI173" i="7"/>
  <c r="AI284" i="7"/>
  <c r="AI286" i="7" s="1"/>
  <c r="AI307" i="7" s="1"/>
  <c r="AI309" i="7" s="1"/>
  <c r="K315" i="7"/>
  <c r="L315" i="7" s="1"/>
  <c r="L322" i="7" s="1"/>
  <c r="H322" i="7"/>
  <c r="AK173" i="7"/>
  <c r="AK284" i="7"/>
  <c r="AK286" i="7" s="1"/>
  <c r="AK307" i="7" s="1"/>
  <c r="AK309" i="7" s="1"/>
  <c r="G173" i="7"/>
  <c r="G284" i="7"/>
  <c r="AB173" i="7"/>
  <c r="AB284" i="7"/>
  <c r="AB286" i="7" s="1"/>
  <c r="AB307" i="7" s="1"/>
  <c r="AB309" i="7" s="1"/>
  <c r="Z173" i="7"/>
  <c r="Z284" i="7"/>
  <c r="J173" i="7"/>
  <c r="J284" i="7"/>
  <c r="E173" i="7"/>
  <c r="E284" i="7"/>
  <c r="O173" i="7"/>
  <c r="O284" i="7"/>
  <c r="AJ173" i="7"/>
  <c r="AJ284" i="7"/>
  <c r="AJ286" i="7" s="1"/>
  <c r="AJ307" i="7" s="1"/>
  <c r="AJ309" i="7" s="1"/>
  <c r="AH173" i="7"/>
  <c r="AH284" i="7"/>
  <c r="AH286" i="7" s="1"/>
  <c r="AH307" i="7" s="1"/>
  <c r="AH309" i="7" s="1"/>
  <c r="H173" i="7"/>
  <c r="H284" i="7"/>
  <c r="Y173" i="7"/>
  <c r="Y284" i="7"/>
  <c r="W173" i="7"/>
  <c r="W284" i="7"/>
  <c r="AC173" i="7"/>
  <c r="AC284" i="7"/>
  <c r="AC286" i="7" s="1"/>
  <c r="AC307" i="7" s="1"/>
  <c r="AC309" i="7" s="1"/>
  <c r="AP173" i="7"/>
  <c r="AP284" i="7"/>
  <c r="AP286" i="7" s="1"/>
  <c r="AP307" i="7" s="1"/>
  <c r="AP309" i="7" s="1"/>
  <c r="P173" i="7"/>
  <c r="P284" i="7"/>
  <c r="F173" i="7"/>
  <c r="F284" i="7"/>
  <c r="AE173" i="7"/>
  <c r="AE284" i="7"/>
  <c r="AE286" i="7" s="1"/>
  <c r="AE307" i="7" s="1"/>
  <c r="AE309" i="7" s="1"/>
  <c r="U173" i="7"/>
  <c r="U284" i="7"/>
  <c r="C592" i="7"/>
  <c r="C171" i="7" s="1"/>
  <c r="I322" i="7"/>
  <c r="X173" i="7"/>
  <c r="X284" i="7"/>
  <c r="C152" i="7"/>
  <c r="C154" i="7" s="1"/>
  <c r="C155" i="7" s="1"/>
  <c r="AA165" i="7"/>
  <c r="AA166" i="7" s="1"/>
  <c r="AA169" i="7" s="1"/>
  <c r="AA218" i="7"/>
  <c r="AA236" i="7"/>
  <c r="AA280" i="7"/>
  <c r="AA122" i="7"/>
  <c r="AA123" i="7" s="1"/>
  <c r="AA134" i="7" s="1"/>
  <c r="AA251" i="7"/>
  <c r="D237" i="7"/>
  <c r="D238" i="7" s="1"/>
  <c r="D245" i="7" s="1"/>
  <c r="D247" i="7" s="1"/>
  <c r="D150" i="7" s="1"/>
  <c r="D149" i="7"/>
  <c r="B169" i="7"/>
  <c r="B182" i="7"/>
  <c r="E661" i="7"/>
  <c r="E664" i="7" s="1"/>
  <c r="E773" i="7" s="1"/>
  <c r="F774" i="7" s="1"/>
  <c r="D773" i="7"/>
  <c r="E774" i="7" s="1"/>
  <c r="AN191" i="7" l="1"/>
  <c r="AN180" i="7"/>
  <c r="AN181" i="7" s="1"/>
  <c r="AD191" i="7"/>
  <c r="AD180" i="7"/>
  <c r="AD181" i="7" s="1"/>
  <c r="AD182" i="7" s="1"/>
  <c r="AM191" i="7"/>
  <c r="AM180" i="7"/>
  <c r="AM181" i="7" s="1"/>
  <c r="I456" i="7"/>
  <c r="J456" i="7" s="1"/>
  <c r="I455" i="7"/>
  <c r="J455" i="7" s="1"/>
  <c r="I452" i="7"/>
  <c r="J452" i="7" s="1"/>
  <c r="I457" i="7"/>
  <c r="J457" i="7" s="1"/>
  <c r="I453" i="7"/>
  <c r="J453" i="7" s="1"/>
  <c r="I454" i="7"/>
  <c r="J454" i="7" s="1"/>
  <c r="I451" i="7"/>
  <c r="J451" i="7" s="1"/>
  <c r="I319" i="7"/>
  <c r="J319" i="7" s="1"/>
  <c r="I321" i="7"/>
  <c r="J321" i="7" s="1"/>
  <c r="I316" i="7"/>
  <c r="J316" i="7" s="1"/>
  <c r="I315" i="7"/>
  <c r="J315" i="7" s="1"/>
  <c r="I317" i="7"/>
  <c r="J317" i="7" s="1"/>
  <c r="I320" i="7"/>
  <c r="J320" i="7" s="1"/>
  <c r="I318" i="7"/>
  <c r="J318" i="7" s="1"/>
  <c r="AE191" i="7"/>
  <c r="AE180" i="7"/>
  <c r="AE181" i="7" s="1"/>
  <c r="AE182" i="7" s="1"/>
  <c r="AC191" i="7"/>
  <c r="AC180" i="7"/>
  <c r="AC181" i="7" s="1"/>
  <c r="AC182" i="7" s="1"/>
  <c r="AJ191" i="7"/>
  <c r="AJ180" i="7"/>
  <c r="AJ181" i="7" s="1"/>
  <c r="AI191" i="7"/>
  <c r="AI180" i="7"/>
  <c r="AI181" i="7" s="1"/>
  <c r="AG191" i="7"/>
  <c r="AG180" i="7"/>
  <c r="AG181" i="7" s="1"/>
  <c r="AO191" i="7"/>
  <c r="AO180" i="7"/>
  <c r="AO181" i="7" s="1"/>
  <c r="AO182" i="7" s="1"/>
  <c r="AL191" i="7"/>
  <c r="AL180" i="7"/>
  <c r="AL181" i="7" s="1"/>
  <c r="AN182" i="7"/>
  <c r="AM182" i="7"/>
  <c r="C284" i="7"/>
  <c r="C173" i="7"/>
  <c r="AJ182" i="7"/>
  <c r="AI182" i="7"/>
  <c r="AG182" i="7"/>
  <c r="AL182" i="7"/>
  <c r="L458" i="7"/>
  <c r="N451" i="7"/>
  <c r="AF191" i="7"/>
  <c r="AF180" i="7"/>
  <c r="AF181" i="7" s="1"/>
  <c r="AF182" i="7" s="1"/>
  <c r="AP191" i="7"/>
  <c r="AP180" i="7"/>
  <c r="AP181" i="7" s="1"/>
  <c r="AP182" i="7" s="1"/>
  <c r="AH191" i="7"/>
  <c r="AH180" i="7"/>
  <c r="AH181" i="7" s="1"/>
  <c r="AH182" i="7" s="1"/>
  <c r="AB191" i="7"/>
  <c r="AB180" i="7"/>
  <c r="AB181" i="7" s="1"/>
  <c r="AB182" i="7" s="1"/>
  <c r="AK191" i="7"/>
  <c r="AK180" i="7"/>
  <c r="AK181" i="7" s="1"/>
  <c r="AK182" i="7" s="1"/>
  <c r="F232" i="7"/>
  <c r="F214" i="7"/>
  <c r="F143" i="7"/>
  <c r="F145" i="7" s="1"/>
  <c r="F148" i="7" s="1"/>
  <c r="E214" i="7"/>
  <c r="E219" i="7" s="1"/>
  <c r="E226" i="7" s="1"/>
  <c r="E228" i="7" s="1"/>
  <c r="E237" i="7" s="1"/>
  <c r="E143" i="7"/>
  <c r="E145" i="7" s="1"/>
  <c r="E148" i="7" s="1"/>
  <c r="E232" i="7"/>
  <c r="D152" i="7"/>
  <c r="F118" i="7"/>
  <c r="J322" i="7" l="1"/>
  <c r="J458" i="7"/>
  <c r="O451" i="7"/>
  <c r="N452" i="7"/>
  <c r="O452" i="7" s="1"/>
  <c r="P452" i="7" s="1"/>
  <c r="Q452" i="7" s="1"/>
  <c r="N316" i="7"/>
  <c r="O316" i="7" s="1"/>
  <c r="P316" i="7" s="1"/>
  <c r="Q316" i="7" s="1"/>
  <c r="N454" i="7"/>
  <c r="O454" i="7" s="1"/>
  <c r="Q454" i="7" s="1"/>
  <c r="N318" i="7"/>
  <c r="O318" i="7" s="1"/>
  <c r="Q318" i="7" s="1"/>
  <c r="N319" i="7"/>
  <c r="O319" i="7" s="1"/>
  <c r="Q319" i="7" s="1"/>
  <c r="N455" i="7"/>
  <c r="O455" i="7" s="1"/>
  <c r="Q455" i="7" s="1"/>
  <c r="N317" i="7"/>
  <c r="O317" i="7" s="1"/>
  <c r="Q317" i="7" s="1"/>
  <c r="N453" i="7"/>
  <c r="O453" i="7" s="1"/>
  <c r="Q453" i="7" s="1"/>
  <c r="N320" i="7"/>
  <c r="O320" i="7" s="1"/>
  <c r="Q320" i="7" s="1"/>
  <c r="N456" i="7"/>
  <c r="O456" i="7" s="1"/>
  <c r="Q456" i="7" s="1"/>
  <c r="N315" i="7"/>
  <c r="N321" i="7"/>
  <c r="O321" i="7" s="1"/>
  <c r="Q321" i="7" s="1"/>
  <c r="N457" i="7"/>
  <c r="O457" i="7" s="1"/>
  <c r="Q457" i="7" s="1"/>
  <c r="E149" i="7"/>
  <c r="E238" i="7"/>
  <c r="E245" i="7" s="1"/>
  <c r="E247" i="7" s="1"/>
  <c r="E150" i="7" s="1"/>
  <c r="D154" i="7"/>
  <c r="F236" i="7"/>
  <c r="F218" i="7"/>
  <c r="F219" i="7" s="1"/>
  <c r="F661" i="7"/>
  <c r="F280" i="7"/>
  <c r="F165" i="7"/>
  <c r="F166" i="7" s="1"/>
  <c r="F169" i="7" s="1"/>
  <c r="F251" i="7"/>
  <c r="F122" i="7"/>
  <c r="F123" i="7" s="1"/>
  <c r="F134" i="7" s="1"/>
  <c r="AN497" i="7" l="1"/>
  <c r="AB497" i="7"/>
  <c r="E497" i="7"/>
  <c r="AK497" i="7"/>
  <c r="AG497" i="7"/>
  <c r="F497" i="7"/>
  <c r="AM497" i="7"/>
  <c r="AP497" i="7"/>
  <c r="J497" i="7"/>
  <c r="V497" i="7"/>
  <c r="P497" i="7"/>
  <c r="AF497" i="7"/>
  <c r="X497" i="7"/>
  <c r="T497" i="7"/>
  <c r="AO497" i="7"/>
  <c r="AD497" i="7"/>
  <c r="Z497" i="7"/>
  <c r="C497" i="7"/>
  <c r="D497" i="7"/>
  <c r="M497" i="7"/>
  <c r="N497" i="7"/>
  <c r="AL497" i="7"/>
  <c r="AA497" i="7"/>
  <c r="R497" i="7"/>
  <c r="H497" i="7"/>
  <c r="W497" i="7"/>
  <c r="U497" i="7"/>
  <c r="AJ497" i="7"/>
  <c r="AE497" i="7"/>
  <c r="AC497" i="7"/>
  <c r="G497" i="7"/>
  <c r="AI497" i="7"/>
  <c r="S497" i="7"/>
  <c r="AH497" i="7"/>
  <c r="L497" i="7"/>
  <c r="I497" i="7"/>
  <c r="Y497" i="7"/>
  <c r="K497" i="7"/>
  <c r="O497" i="7"/>
  <c r="Q497" i="7"/>
  <c r="AL496" i="7"/>
  <c r="AH496" i="7"/>
  <c r="K496" i="7"/>
  <c r="P496" i="7"/>
  <c r="Y496" i="7"/>
  <c r="X496" i="7"/>
  <c r="F496" i="7"/>
  <c r="S496" i="7"/>
  <c r="AN496" i="7"/>
  <c r="AE496" i="7"/>
  <c r="Q496" i="7"/>
  <c r="AM496" i="7"/>
  <c r="AA496" i="7"/>
  <c r="U496" i="7"/>
  <c r="AC496" i="7"/>
  <c r="J496" i="7"/>
  <c r="N496" i="7"/>
  <c r="M496" i="7"/>
  <c r="C496" i="7"/>
  <c r="E496" i="7"/>
  <c r="H496" i="7"/>
  <c r="AK496" i="7"/>
  <c r="G496" i="7"/>
  <c r="T496" i="7"/>
  <c r="AI496" i="7"/>
  <c r="R496" i="7"/>
  <c r="D496" i="7"/>
  <c r="L496" i="7"/>
  <c r="AD496" i="7"/>
  <c r="AP496" i="7"/>
  <c r="V496" i="7"/>
  <c r="O496" i="7"/>
  <c r="AG496" i="7"/>
  <c r="AO496" i="7"/>
  <c r="AF496" i="7"/>
  <c r="I496" i="7"/>
  <c r="W496" i="7"/>
  <c r="Z496" i="7"/>
  <c r="AJ496" i="7"/>
  <c r="AB496" i="7"/>
  <c r="AD357" i="7"/>
  <c r="L357" i="7"/>
  <c r="C357" i="7"/>
  <c r="Y357" i="7"/>
  <c r="G357" i="7"/>
  <c r="AG357" i="7"/>
  <c r="AA357" i="7"/>
  <c r="F357" i="7"/>
  <c r="E357" i="7"/>
  <c r="AN357" i="7"/>
  <c r="AI357" i="7"/>
  <c r="H357" i="7"/>
  <c r="W357" i="7"/>
  <c r="AP357" i="7"/>
  <c r="AB357" i="7"/>
  <c r="Q357" i="7"/>
  <c r="U357" i="7"/>
  <c r="AJ357" i="7"/>
  <c r="P357" i="7"/>
  <c r="M357" i="7"/>
  <c r="S357" i="7"/>
  <c r="AE357" i="7"/>
  <c r="V357" i="7"/>
  <c r="D357" i="7"/>
  <c r="Z357" i="7"/>
  <c r="AK357" i="7"/>
  <c r="N357" i="7"/>
  <c r="I357" i="7"/>
  <c r="AM357" i="7"/>
  <c r="T357" i="7"/>
  <c r="AL357" i="7"/>
  <c r="J357" i="7"/>
  <c r="R357" i="7"/>
  <c r="AO357" i="7"/>
  <c r="AH357" i="7"/>
  <c r="AF357" i="7"/>
  <c r="AC357" i="7"/>
  <c r="K357" i="7"/>
  <c r="O357" i="7"/>
  <c r="X357" i="7"/>
  <c r="E498" i="7"/>
  <c r="I498" i="7"/>
  <c r="M498" i="7"/>
  <c r="Q498" i="7"/>
  <c r="U498" i="7"/>
  <c r="Y498" i="7"/>
  <c r="F498" i="7"/>
  <c r="J498" i="7"/>
  <c r="N498" i="7"/>
  <c r="R498" i="7"/>
  <c r="V498" i="7"/>
  <c r="Z498" i="7"/>
  <c r="C498" i="7"/>
  <c r="G498" i="7"/>
  <c r="K498" i="7"/>
  <c r="O498" i="7"/>
  <c r="S498" i="7"/>
  <c r="W498" i="7"/>
  <c r="AA498" i="7"/>
  <c r="D498" i="7"/>
  <c r="H498" i="7"/>
  <c r="L498" i="7"/>
  <c r="P498" i="7"/>
  <c r="T498" i="7"/>
  <c r="X498" i="7"/>
  <c r="AH361" i="7"/>
  <c r="AJ361" i="7"/>
  <c r="AI361" i="7"/>
  <c r="V361" i="7"/>
  <c r="G361" i="7"/>
  <c r="Q361" i="7"/>
  <c r="AP361" i="7"/>
  <c r="K361" i="7"/>
  <c r="AK361" i="7"/>
  <c r="AB361" i="7"/>
  <c r="AE361" i="7"/>
  <c r="F361" i="7"/>
  <c r="AM361" i="7"/>
  <c r="AG361" i="7"/>
  <c r="C361" i="7"/>
  <c r="P361" i="7"/>
  <c r="N361" i="7"/>
  <c r="W361" i="7"/>
  <c r="Y361" i="7"/>
  <c r="J361" i="7"/>
  <c r="E361" i="7"/>
  <c r="AA361" i="7"/>
  <c r="AL361" i="7"/>
  <c r="M361" i="7"/>
  <c r="D361" i="7"/>
  <c r="H361" i="7"/>
  <c r="T361" i="7"/>
  <c r="AD361" i="7"/>
  <c r="AO361" i="7"/>
  <c r="AC361" i="7"/>
  <c r="AF361" i="7"/>
  <c r="L361" i="7"/>
  <c r="AN361" i="7"/>
  <c r="Z361" i="7"/>
  <c r="O361" i="7"/>
  <c r="U361" i="7"/>
  <c r="S361" i="7"/>
  <c r="X361" i="7"/>
  <c r="R361" i="7"/>
  <c r="I361" i="7"/>
  <c r="AD360" i="7"/>
  <c r="R360" i="7"/>
  <c r="S360" i="7"/>
  <c r="K360" i="7"/>
  <c r="E360" i="7"/>
  <c r="V360" i="7"/>
  <c r="D360" i="7"/>
  <c r="AO360" i="7"/>
  <c r="G360" i="7"/>
  <c r="AF360" i="7"/>
  <c r="N360" i="7"/>
  <c r="F360" i="7"/>
  <c r="H360" i="7"/>
  <c r="AN360" i="7"/>
  <c r="AG360" i="7"/>
  <c r="AA360" i="7"/>
  <c r="U360" i="7"/>
  <c r="AL360" i="7"/>
  <c r="X360" i="7"/>
  <c r="J360" i="7"/>
  <c r="AM360" i="7"/>
  <c r="M360" i="7"/>
  <c r="W360" i="7"/>
  <c r="C360" i="7"/>
  <c r="AH360" i="7"/>
  <c r="Y360" i="7"/>
  <c r="AB360" i="7"/>
  <c r="AI360" i="7"/>
  <c r="O360" i="7"/>
  <c r="AJ360" i="7"/>
  <c r="AE360" i="7"/>
  <c r="AK360" i="7"/>
  <c r="I360" i="7"/>
  <c r="Z360" i="7"/>
  <c r="AC360" i="7"/>
  <c r="Q360" i="7"/>
  <c r="P360" i="7"/>
  <c r="AP360" i="7"/>
  <c r="L360" i="7"/>
  <c r="T360" i="7"/>
  <c r="R493" i="7"/>
  <c r="G493" i="7"/>
  <c r="AO493" i="7"/>
  <c r="D493" i="7"/>
  <c r="K493" i="7"/>
  <c r="S493" i="7"/>
  <c r="AM493" i="7"/>
  <c r="Y493" i="7"/>
  <c r="E493" i="7"/>
  <c r="AH493" i="7"/>
  <c r="AF493" i="7"/>
  <c r="Q493" i="7"/>
  <c r="AL493" i="7"/>
  <c r="AK493" i="7"/>
  <c r="T493" i="7"/>
  <c r="M493" i="7"/>
  <c r="H493" i="7"/>
  <c r="P493" i="7"/>
  <c r="N493" i="7"/>
  <c r="AG493" i="7"/>
  <c r="L493" i="7"/>
  <c r="C493" i="7"/>
  <c r="AC493" i="7"/>
  <c r="W493" i="7"/>
  <c r="O493" i="7"/>
  <c r="X493" i="7"/>
  <c r="I493" i="7"/>
  <c r="V493" i="7"/>
  <c r="AA493" i="7"/>
  <c r="AB493" i="7"/>
  <c r="F493" i="7"/>
  <c r="Z493" i="7"/>
  <c r="AP493" i="7"/>
  <c r="U493" i="7"/>
  <c r="AD493" i="7"/>
  <c r="J493" i="7"/>
  <c r="AI493" i="7"/>
  <c r="AN493" i="7"/>
  <c r="AE493" i="7"/>
  <c r="AJ493" i="7"/>
  <c r="D362" i="7"/>
  <c r="H362" i="7"/>
  <c r="L362" i="7"/>
  <c r="P362" i="7"/>
  <c r="T362" i="7"/>
  <c r="X362" i="7"/>
  <c r="E362" i="7"/>
  <c r="I362" i="7"/>
  <c r="M362" i="7"/>
  <c r="Q362" i="7"/>
  <c r="U362" i="7"/>
  <c r="Y362" i="7"/>
  <c r="F362" i="7"/>
  <c r="J362" i="7"/>
  <c r="N362" i="7"/>
  <c r="R362" i="7"/>
  <c r="V362" i="7"/>
  <c r="Z362" i="7"/>
  <c r="C362" i="7"/>
  <c r="G362" i="7"/>
  <c r="K362" i="7"/>
  <c r="O362" i="7"/>
  <c r="S362" i="7"/>
  <c r="W362" i="7"/>
  <c r="AA362" i="7"/>
  <c r="S494" i="7"/>
  <c r="X494" i="7"/>
  <c r="U494" i="7"/>
  <c r="AP494" i="7"/>
  <c r="AO494" i="7"/>
  <c r="G494" i="7"/>
  <c r="AE494" i="7"/>
  <c r="W494" i="7"/>
  <c r="C494" i="7"/>
  <c r="K494" i="7"/>
  <c r="AN494" i="7"/>
  <c r="AL494" i="7"/>
  <c r="AG494" i="7"/>
  <c r="R494" i="7"/>
  <c r="AD494" i="7"/>
  <c r="I494" i="7"/>
  <c r="V494" i="7"/>
  <c r="AB494" i="7"/>
  <c r="L494" i="7"/>
  <c r="J494" i="7"/>
  <c r="N494" i="7"/>
  <c r="O494" i="7"/>
  <c r="AH494" i="7"/>
  <c r="P494" i="7"/>
  <c r="Q494" i="7"/>
  <c r="AF494" i="7"/>
  <c r="F494" i="7"/>
  <c r="AM494" i="7"/>
  <c r="H494" i="7"/>
  <c r="M494" i="7"/>
  <c r="AJ494" i="7"/>
  <c r="AC494" i="7"/>
  <c r="AA494" i="7"/>
  <c r="AI494" i="7"/>
  <c r="D494" i="7"/>
  <c r="AK494" i="7"/>
  <c r="E494" i="7"/>
  <c r="Y494" i="7"/>
  <c r="Z494" i="7"/>
  <c r="T494" i="7"/>
  <c r="E359" i="7"/>
  <c r="H359" i="7"/>
  <c r="L359" i="7"/>
  <c r="P359" i="7"/>
  <c r="T359" i="7"/>
  <c r="X359" i="7"/>
  <c r="AB359" i="7"/>
  <c r="AF359" i="7"/>
  <c r="AJ359" i="7"/>
  <c r="AN359" i="7"/>
  <c r="D359" i="7"/>
  <c r="I359" i="7"/>
  <c r="M359" i="7"/>
  <c r="Q359" i="7"/>
  <c r="U359" i="7"/>
  <c r="Y359" i="7"/>
  <c r="AC359" i="7"/>
  <c r="AG359" i="7"/>
  <c r="AK359" i="7"/>
  <c r="AO359" i="7"/>
  <c r="F359" i="7"/>
  <c r="J359" i="7"/>
  <c r="N359" i="7"/>
  <c r="R359" i="7"/>
  <c r="V359" i="7"/>
  <c r="Z359" i="7"/>
  <c r="AD359" i="7"/>
  <c r="AH359" i="7"/>
  <c r="AL359" i="7"/>
  <c r="AP359" i="7"/>
  <c r="C359" i="7"/>
  <c r="G359" i="7"/>
  <c r="K359" i="7"/>
  <c r="O359" i="7"/>
  <c r="S359" i="7"/>
  <c r="W359" i="7"/>
  <c r="AA359" i="7"/>
  <c r="AE359" i="7"/>
  <c r="AI359" i="7"/>
  <c r="AM359" i="7"/>
  <c r="N458" i="7"/>
  <c r="N322" i="7"/>
  <c r="O315" i="7"/>
  <c r="C358" i="7"/>
  <c r="I358" i="7"/>
  <c r="S358" i="7"/>
  <c r="Z358" i="7"/>
  <c r="U358" i="7"/>
  <c r="AI358" i="7"/>
  <c r="AK358" i="7"/>
  <c r="AE358" i="7"/>
  <c r="AN358" i="7"/>
  <c r="V358" i="7"/>
  <c r="AM358" i="7"/>
  <c r="F358" i="7"/>
  <c r="AL358" i="7"/>
  <c r="AC358" i="7"/>
  <c r="J358" i="7"/>
  <c r="T358" i="7"/>
  <c r="O358" i="7"/>
  <c r="P358" i="7"/>
  <c r="H358" i="7"/>
  <c r="N358" i="7"/>
  <c r="AA358" i="7"/>
  <c r="Q358" i="7"/>
  <c r="AP358" i="7"/>
  <c r="R358" i="7"/>
  <c r="AO358" i="7"/>
  <c r="L358" i="7"/>
  <c r="E358" i="7"/>
  <c r="Y358" i="7"/>
  <c r="W358" i="7"/>
  <c r="AD358" i="7"/>
  <c r="AF358" i="7"/>
  <c r="AH358" i="7"/>
  <c r="D358" i="7"/>
  <c r="AG358" i="7"/>
  <c r="AB358" i="7"/>
  <c r="X358" i="7"/>
  <c r="AJ358" i="7"/>
  <c r="G358" i="7"/>
  <c r="K358" i="7"/>
  <c r="M358" i="7"/>
  <c r="R495" i="7"/>
  <c r="AH495" i="7"/>
  <c r="Q495" i="7"/>
  <c r="X495" i="7"/>
  <c r="N495" i="7"/>
  <c r="O495" i="7"/>
  <c r="AL495" i="7"/>
  <c r="AB495" i="7"/>
  <c r="AD495" i="7"/>
  <c r="AM495" i="7"/>
  <c r="Z495" i="7"/>
  <c r="V495" i="7"/>
  <c r="U495" i="7"/>
  <c r="D495" i="7"/>
  <c r="C495" i="7"/>
  <c r="AP495" i="7"/>
  <c r="AO495" i="7"/>
  <c r="J495" i="7"/>
  <c r="AJ495" i="7"/>
  <c r="AN495" i="7"/>
  <c r="AE495" i="7"/>
  <c r="Y495" i="7"/>
  <c r="I495" i="7"/>
  <c r="P495" i="7"/>
  <c r="L495" i="7"/>
  <c r="AA495" i="7"/>
  <c r="AK495" i="7"/>
  <c r="E495" i="7"/>
  <c r="G495" i="7"/>
  <c r="AF495" i="7"/>
  <c r="W495" i="7"/>
  <c r="H495" i="7"/>
  <c r="AG495" i="7"/>
  <c r="T495" i="7"/>
  <c r="K495" i="7"/>
  <c r="S495" i="7"/>
  <c r="AC495" i="7"/>
  <c r="F495" i="7"/>
  <c r="AI495" i="7"/>
  <c r="M495" i="7"/>
  <c r="O458" i="7"/>
  <c r="P451" i="7"/>
  <c r="P458" i="7" s="1"/>
  <c r="C499" i="7" s="1"/>
  <c r="B499" i="7" s="1" a="1"/>
  <c r="B499" i="7" s="1"/>
  <c r="E152" i="7"/>
  <c r="E154" i="7" s="1"/>
  <c r="D155" i="7"/>
  <c r="F226" i="7"/>
  <c r="F228" i="7" s="1"/>
  <c r="F664" i="7"/>
  <c r="F773" i="7" s="1"/>
  <c r="G774" i="7" s="1"/>
  <c r="Q451" i="7" l="1"/>
  <c r="B495" i="7" a="1"/>
  <c r="B495" i="7" s="1"/>
  <c r="B493" i="7" a="1"/>
  <c r="B493" i="7" s="1"/>
  <c r="B357" i="7" a="1"/>
  <c r="B357" i="7" s="1"/>
  <c r="B496" i="7" a="1"/>
  <c r="B496" i="7" s="1"/>
  <c r="B494" i="7" a="1"/>
  <c r="B494" i="7" s="1"/>
  <c r="B358" i="7" a="1"/>
  <c r="B358" i="7" s="1"/>
  <c r="P315" i="7"/>
  <c r="P322" i="7" s="1"/>
  <c r="C363" i="7" s="1"/>
  <c r="B363" i="7" s="1"/>
  <c r="O322" i="7"/>
  <c r="B359" i="7" a="1"/>
  <c r="B359" i="7" s="1"/>
  <c r="B360" i="7" a="1"/>
  <c r="B360" i="7" s="1"/>
  <c r="G232" i="7"/>
  <c r="G214" i="7"/>
  <c r="G143" i="7"/>
  <c r="G145" i="7" s="1"/>
  <c r="G148" i="7" s="1"/>
  <c r="E155" i="7"/>
  <c r="F237" i="7"/>
  <c r="F238" i="7" s="1"/>
  <c r="F245" i="7" s="1"/>
  <c r="F247" i="7" s="1"/>
  <c r="F150" i="7" s="1"/>
  <c r="F149" i="7"/>
  <c r="G118" i="7"/>
  <c r="Q315" i="7" l="1"/>
  <c r="Q458" i="7"/>
  <c r="I492" i="7"/>
  <c r="I500" i="7" s="1"/>
  <c r="I282" i="7" s="1"/>
  <c r="AM492" i="7"/>
  <c r="AM500" i="7" s="1"/>
  <c r="K492" i="7"/>
  <c r="K500" i="7" s="1"/>
  <c r="K282" i="7" s="1"/>
  <c r="AB492" i="7"/>
  <c r="AB500" i="7" s="1"/>
  <c r="P492" i="7"/>
  <c r="P500" i="7" s="1"/>
  <c r="P282" i="7" s="1"/>
  <c r="J492" i="7"/>
  <c r="J500" i="7" s="1"/>
  <c r="J282" i="7" s="1"/>
  <c r="AH492" i="7"/>
  <c r="AH500" i="7" s="1"/>
  <c r="O492" i="7"/>
  <c r="O500" i="7" s="1"/>
  <c r="O282" i="7" s="1"/>
  <c r="F492" i="7"/>
  <c r="F500" i="7" s="1"/>
  <c r="F282" i="7" s="1"/>
  <c r="V492" i="7"/>
  <c r="V500" i="7" s="1"/>
  <c r="V282" i="7" s="1"/>
  <c r="AJ492" i="7"/>
  <c r="AJ500" i="7" s="1"/>
  <c r="AO492" i="7"/>
  <c r="AO500" i="7" s="1"/>
  <c r="AD492" i="7"/>
  <c r="AD500" i="7" s="1"/>
  <c r="W492" i="7"/>
  <c r="W500" i="7" s="1"/>
  <c r="W282" i="7" s="1"/>
  <c r="X492" i="7"/>
  <c r="X500" i="7" s="1"/>
  <c r="X282" i="7" s="1"/>
  <c r="AA492" i="7"/>
  <c r="AA500" i="7" s="1"/>
  <c r="AA282" i="7" s="1"/>
  <c r="C492" i="7"/>
  <c r="AK492" i="7"/>
  <c r="AK500" i="7" s="1"/>
  <c r="AN492" i="7"/>
  <c r="AN500" i="7" s="1"/>
  <c r="H492" i="7"/>
  <c r="H500" i="7" s="1"/>
  <c r="H282" i="7" s="1"/>
  <c r="R492" i="7"/>
  <c r="R500" i="7" s="1"/>
  <c r="R282" i="7" s="1"/>
  <c r="Z492" i="7"/>
  <c r="Z500" i="7" s="1"/>
  <c r="Z282" i="7" s="1"/>
  <c r="AI492" i="7"/>
  <c r="AI500" i="7" s="1"/>
  <c r="AC492" i="7"/>
  <c r="AC500" i="7" s="1"/>
  <c r="T492" i="7"/>
  <c r="T500" i="7" s="1"/>
  <c r="T282" i="7" s="1"/>
  <c r="L492" i="7"/>
  <c r="L500" i="7" s="1"/>
  <c r="L282" i="7" s="1"/>
  <c r="S492" i="7"/>
  <c r="S500" i="7" s="1"/>
  <c r="S282" i="7" s="1"/>
  <c r="AE492" i="7"/>
  <c r="AE500" i="7" s="1"/>
  <c r="AF492" i="7"/>
  <c r="AF500" i="7" s="1"/>
  <c r="U492" i="7"/>
  <c r="U500" i="7" s="1"/>
  <c r="U282" i="7" s="1"/>
  <c r="Q492" i="7"/>
  <c r="Q500" i="7" s="1"/>
  <c r="Q282" i="7" s="1"/>
  <c r="Y492" i="7"/>
  <c r="Y500" i="7" s="1"/>
  <c r="Y282" i="7" s="1"/>
  <c r="AL492" i="7"/>
  <c r="AL500" i="7" s="1"/>
  <c r="AP492" i="7"/>
  <c r="AP500" i="7" s="1"/>
  <c r="AG492" i="7"/>
  <c r="AG500" i="7" s="1"/>
  <c r="D492" i="7"/>
  <c r="D500" i="7" s="1"/>
  <c r="D282" i="7" s="1"/>
  <c r="G492" i="7"/>
  <c r="G500" i="7" s="1"/>
  <c r="G282" i="7" s="1"/>
  <c r="E492" i="7"/>
  <c r="E500" i="7" s="1"/>
  <c r="E282" i="7" s="1"/>
  <c r="M492" i="7"/>
  <c r="M500" i="7" s="1"/>
  <c r="M282" i="7" s="1"/>
  <c r="N492" i="7"/>
  <c r="N500" i="7" s="1"/>
  <c r="N282" i="7" s="1"/>
  <c r="F152" i="7"/>
  <c r="G236" i="7"/>
  <c r="G218" i="7"/>
  <c r="G219" i="7" s="1"/>
  <c r="G661" i="7"/>
  <c r="G280" i="7"/>
  <c r="G165" i="7"/>
  <c r="G166" i="7" s="1"/>
  <c r="G169" i="7" s="1"/>
  <c r="G251" i="7"/>
  <c r="G122" i="7"/>
  <c r="G123" i="7" s="1"/>
  <c r="G134" i="7" s="1"/>
  <c r="C500" i="7" l="1"/>
  <c r="B492" i="7" a="1"/>
  <c r="B492" i="7" s="1"/>
  <c r="Q322" i="7"/>
  <c r="AP356" i="7"/>
  <c r="AP364" i="7" s="1"/>
  <c r="Z356" i="7"/>
  <c r="Z364" i="7" s="1"/>
  <c r="Z253" i="7" s="1"/>
  <c r="Z254" i="7" s="1"/>
  <c r="Z275" i="7" s="1"/>
  <c r="Z277" i="7" s="1"/>
  <c r="J356" i="7"/>
  <c r="J364" i="7" s="1"/>
  <c r="J253" i="7" s="1"/>
  <c r="AK356" i="7"/>
  <c r="AK364" i="7" s="1"/>
  <c r="U356" i="7"/>
  <c r="U364" i="7" s="1"/>
  <c r="U253" i="7" s="1"/>
  <c r="U254" i="7" s="1"/>
  <c r="U275" i="7" s="1"/>
  <c r="U277" i="7" s="1"/>
  <c r="E356" i="7"/>
  <c r="E364" i="7" s="1"/>
  <c r="E253" i="7" s="1"/>
  <c r="E254" i="7" s="1"/>
  <c r="E275" i="7" s="1"/>
  <c r="E277" i="7" s="1"/>
  <c r="X356" i="7"/>
  <c r="X364" i="7" s="1"/>
  <c r="X253" i="7" s="1"/>
  <c r="X254" i="7" s="1"/>
  <c r="X275" i="7" s="1"/>
  <c r="X277" i="7" s="1"/>
  <c r="H356" i="7"/>
  <c r="H364" i="7" s="1"/>
  <c r="H253" i="7" s="1"/>
  <c r="G356" i="7"/>
  <c r="G364" i="7" s="1"/>
  <c r="G253" i="7" s="1"/>
  <c r="G254" i="7" s="1"/>
  <c r="G275" i="7" s="1"/>
  <c r="G277" i="7" s="1"/>
  <c r="C356" i="7"/>
  <c r="C364" i="7" s="1"/>
  <c r="C253" i="7" s="1"/>
  <c r="C254" i="7" s="1"/>
  <c r="C275" i="7" s="1"/>
  <c r="C277" i="7" s="1"/>
  <c r="AN356" i="7"/>
  <c r="AN364" i="7" s="1"/>
  <c r="K356" i="7"/>
  <c r="K364" i="7" s="1"/>
  <c r="K253" i="7" s="1"/>
  <c r="AD356" i="7"/>
  <c r="AD364" i="7" s="1"/>
  <c r="Y356" i="7"/>
  <c r="Y364" i="7" s="1"/>
  <c r="Y253" i="7" s="1"/>
  <c r="Y254" i="7" s="1"/>
  <c r="Y275" i="7" s="1"/>
  <c r="Y277" i="7" s="1"/>
  <c r="AB356" i="7"/>
  <c r="AB364" i="7" s="1"/>
  <c r="W356" i="7"/>
  <c r="W364" i="7" s="1"/>
  <c r="W253" i="7" s="1"/>
  <c r="W254" i="7" s="1"/>
  <c r="W275" i="7" s="1"/>
  <c r="W277" i="7" s="1"/>
  <c r="AL356" i="7"/>
  <c r="AL364" i="7" s="1"/>
  <c r="V356" i="7"/>
  <c r="V364" i="7" s="1"/>
  <c r="V253" i="7" s="1"/>
  <c r="V254" i="7" s="1"/>
  <c r="V275" i="7" s="1"/>
  <c r="V277" i="7" s="1"/>
  <c r="F356" i="7"/>
  <c r="F364" i="7" s="1"/>
  <c r="F253" i="7" s="1"/>
  <c r="F254" i="7" s="1"/>
  <c r="F275" i="7" s="1"/>
  <c r="F277" i="7" s="1"/>
  <c r="AG356" i="7"/>
  <c r="AG364" i="7" s="1"/>
  <c r="Q356" i="7"/>
  <c r="Q364" i="7" s="1"/>
  <c r="Q253" i="7" s="1"/>
  <c r="T356" i="7"/>
  <c r="T364" i="7" s="1"/>
  <c r="T253" i="7" s="1"/>
  <c r="D356" i="7"/>
  <c r="D364" i="7" s="1"/>
  <c r="D253" i="7" s="1"/>
  <c r="D254" i="7" s="1"/>
  <c r="D275" i="7" s="1"/>
  <c r="D277" i="7" s="1"/>
  <c r="AE356" i="7"/>
  <c r="AE364" i="7" s="1"/>
  <c r="AH356" i="7"/>
  <c r="AH364" i="7" s="1"/>
  <c r="R356" i="7"/>
  <c r="R364" i="7" s="1"/>
  <c r="R253" i="7" s="1"/>
  <c r="AJ356" i="7"/>
  <c r="AJ364" i="7" s="1"/>
  <c r="AC356" i="7"/>
  <c r="AC364" i="7" s="1"/>
  <c r="M356" i="7"/>
  <c r="M364" i="7" s="1"/>
  <c r="M253" i="7" s="1"/>
  <c r="AF356" i="7"/>
  <c r="AF364" i="7" s="1"/>
  <c r="P356" i="7"/>
  <c r="P364" i="7" s="1"/>
  <c r="P253" i="7" s="1"/>
  <c r="AM356" i="7"/>
  <c r="AM364" i="7" s="1"/>
  <c r="AI356" i="7"/>
  <c r="AI364" i="7" s="1"/>
  <c r="O356" i="7"/>
  <c r="O364" i="7" s="1"/>
  <c r="O253" i="7" s="1"/>
  <c r="AO356" i="7"/>
  <c r="AO364" i="7" s="1"/>
  <c r="I356" i="7"/>
  <c r="I364" i="7" s="1"/>
  <c r="I253" i="7" s="1"/>
  <c r="L356" i="7"/>
  <c r="L364" i="7" s="1"/>
  <c r="L253" i="7" s="1"/>
  <c r="S356" i="7"/>
  <c r="S364" i="7" s="1"/>
  <c r="S253" i="7" s="1"/>
  <c r="N356" i="7"/>
  <c r="N364" i="7" s="1"/>
  <c r="N253" i="7" s="1"/>
  <c r="AA356" i="7"/>
  <c r="AA364" i="7" s="1"/>
  <c r="AA253" i="7" s="1"/>
  <c r="AA254" i="7" s="1"/>
  <c r="AA275" i="7" s="1"/>
  <c r="AA277" i="7" s="1"/>
  <c r="F154" i="7"/>
  <c r="G226" i="7"/>
  <c r="G228" i="7" s="1"/>
  <c r="G664" i="7"/>
  <c r="G773" i="7" s="1"/>
  <c r="H774" i="7" s="1"/>
  <c r="AA179" i="7" l="1"/>
  <c r="AA283" i="7"/>
  <c r="AA286" i="7" s="1"/>
  <c r="AA307" i="7" s="1"/>
  <c r="AA309" i="7" s="1"/>
  <c r="W283" i="7"/>
  <c r="W286" i="7" s="1"/>
  <c r="W307" i="7" s="1"/>
  <c r="W309" i="7" s="1"/>
  <c r="W179" i="7"/>
  <c r="F283" i="7"/>
  <c r="F286" i="7" s="1"/>
  <c r="F307" i="7" s="1"/>
  <c r="F309" i="7" s="1"/>
  <c r="F179" i="7"/>
  <c r="X179" i="7"/>
  <c r="X283" i="7"/>
  <c r="X286" i="7" s="1"/>
  <c r="X307" i="7" s="1"/>
  <c r="X309" i="7" s="1"/>
  <c r="D179" i="7"/>
  <c r="D283" i="7"/>
  <c r="D286" i="7" s="1"/>
  <c r="D307" i="7" s="1"/>
  <c r="D309" i="7" s="1"/>
  <c r="V179" i="7"/>
  <c r="V283" i="7"/>
  <c r="V286" i="7" s="1"/>
  <c r="V307" i="7" s="1"/>
  <c r="V309" i="7" s="1"/>
  <c r="Y283" i="7"/>
  <c r="Y286" i="7" s="1"/>
  <c r="Y307" i="7" s="1"/>
  <c r="Y309" i="7" s="1"/>
  <c r="Y179" i="7"/>
  <c r="C283" i="7"/>
  <c r="C179" i="7"/>
  <c r="E179" i="7"/>
  <c r="E283" i="7"/>
  <c r="E286" i="7" s="1"/>
  <c r="E307" i="7" s="1"/>
  <c r="E309" i="7" s="1"/>
  <c r="Z179" i="7"/>
  <c r="Z283" i="7"/>
  <c r="Z286" i="7" s="1"/>
  <c r="Z307" i="7" s="1"/>
  <c r="Z309" i="7" s="1"/>
  <c r="C282" i="7"/>
  <c r="B500" i="7" a="1"/>
  <c r="B500" i="7" s="1"/>
  <c r="U283" i="7"/>
  <c r="U286" i="7" s="1"/>
  <c r="U307" i="7" s="1"/>
  <c r="U309" i="7" s="1"/>
  <c r="U179" i="7"/>
  <c r="H232" i="7"/>
  <c r="H214" i="7"/>
  <c r="H143" i="7"/>
  <c r="H145" i="7" s="1"/>
  <c r="H148" i="7" s="1"/>
  <c r="F155" i="7"/>
  <c r="G237" i="7"/>
  <c r="G238" i="7" s="1"/>
  <c r="G245" i="7" s="1"/>
  <c r="G247" i="7" s="1"/>
  <c r="G150" i="7" s="1"/>
  <c r="G149" i="7"/>
  <c r="G283" i="7"/>
  <c r="G286" i="7" s="1"/>
  <c r="G179" i="7"/>
  <c r="H118" i="7"/>
  <c r="V191" i="7" l="1"/>
  <c r="V180" i="7"/>
  <c r="V181" i="7" s="1"/>
  <c r="V182" i="7" s="1"/>
  <c r="X191" i="7"/>
  <c r="X180" i="7"/>
  <c r="X181" i="7" s="1"/>
  <c r="X182" i="7" s="1"/>
  <c r="Z191" i="7"/>
  <c r="Z180" i="7"/>
  <c r="Z181" i="7" s="1"/>
  <c r="Z182" i="7" s="1"/>
  <c r="U191" i="7"/>
  <c r="U180" i="7"/>
  <c r="U181" i="7" s="1"/>
  <c r="U182" i="7" s="1"/>
  <c r="W191" i="7"/>
  <c r="W180" i="7"/>
  <c r="W181" i="7" s="1"/>
  <c r="W182" i="7" s="1"/>
  <c r="E191" i="7"/>
  <c r="E180" i="7"/>
  <c r="E181" i="7" s="1"/>
  <c r="E182" i="7" s="1"/>
  <c r="D191" i="7"/>
  <c r="D180" i="7"/>
  <c r="D181" i="7" s="1"/>
  <c r="D182" i="7" s="1"/>
  <c r="AA191" i="7"/>
  <c r="AA180" i="7"/>
  <c r="AA181" i="7" s="1"/>
  <c r="AA182" i="7" s="1"/>
  <c r="C286" i="7"/>
  <c r="C307" i="7" s="1"/>
  <c r="C309" i="7" s="1"/>
  <c r="Y191" i="7"/>
  <c r="Y180" i="7"/>
  <c r="Y181" i="7" s="1"/>
  <c r="Y182" i="7" s="1"/>
  <c r="F191" i="7"/>
  <c r="F180" i="7"/>
  <c r="F181" i="7" s="1"/>
  <c r="F182" i="7" s="1"/>
  <c r="G152" i="7"/>
  <c r="G307" i="7"/>
  <c r="G309" i="7" s="1"/>
  <c r="G191" i="7" s="1"/>
  <c r="H236" i="7"/>
  <c r="H218" i="7"/>
  <c r="H219" i="7" s="1"/>
  <c r="H661" i="7"/>
  <c r="H280" i="7"/>
  <c r="H165" i="7"/>
  <c r="H166" i="7" s="1"/>
  <c r="H169" i="7" s="1"/>
  <c r="H251" i="7"/>
  <c r="H254" i="7" s="1"/>
  <c r="H275" i="7" s="1"/>
  <c r="H122" i="7"/>
  <c r="H123" i="7" s="1"/>
  <c r="H134" i="7" s="1"/>
  <c r="C191" i="7" l="1"/>
  <c r="C180" i="7"/>
  <c r="C181" i="7" s="1"/>
  <c r="C182" i="7" s="1"/>
  <c r="G154" i="7"/>
  <c r="G180" i="7"/>
  <c r="G181" i="7" s="1"/>
  <c r="G182" i="7" s="1"/>
  <c r="H226" i="7"/>
  <c r="H228" i="7" s="1"/>
  <c r="H664" i="7"/>
  <c r="H773" i="7" s="1"/>
  <c r="I774" i="7" s="1"/>
  <c r="H277" i="7"/>
  <c r="E184" i="7" l="1"/>
  <c r="D184" i="7"/>
  <c r="C184" i="7"/>
  <c r="F184" i="7"/>
  <c r="I214" i="7"/>
  <c r="I232" i="7"/>
  <c r="I143" i="7"/>
  <c r="I145" i="7" s="1"/>
  <c r="I148" i="7" s="1"/>
  <c r="G155" i="7"/>
  <c r="G184" i="7"/>
  <c r="H237" i="7"/>
  <c r="H238" i="7" s="1"/>
  <c r="H245" i="7" s="1"/>
  <c r="H247" i="7" s="1"/>
  <c r="H150" i="7" s="1"/>
  <c r="H149" i="7"/>
  <c r="H283" i="7"/>
  <c r="H286" i="7" s="1"/>
  <c r="H179" i="7"/>
  <c r="I118" i="7"/>
  <c r="C185" i="7" l="1"/>
  <c r="D185" i="7"/>
  <c r="F185" i="7"/>
  <c r="E185" i="7"/>
  <c r="F186" i="7" s="1"/>
  <c r="H152" i="7"/>
  <c r="H154" i="7" s="1"/>
  <c r="H155" i="7" s="1"/>
  <c r="H307" i="7"/>
  <c r="H309" i="7" s="1"/>
  <c r="H191" i="7" s="1"/>
  <c r="I236" i="7"/>
  <c r="I218" i="7"/>
  <c r="I219" i="7" s="1"/>
  <c r="I661" i="7"/>
  <c r="G185" i="7"/>
  <c r="I280" i="7"/>
  <c r="I165" i="7"/>
  <c r="I166" i="7" s="1"/>
  <c r="I169" i="7" s="1"/>
  <c r="I251" i="7"/>
  <c r="I254" i="7" s="1"/>
  <c r="I275" i="7" s="1"/>
  <c r="I122" i="7"/>
  <c r="I123" i="7" s="1"/>
  <c r="I134" i="7" s="1"/>
  <c r="E186" i="7" l="1"/>
  <c r="C186" i="7"/>
  <c r="D186" i="7"/>
  <c r="G186" i="7"/>
  <c r="H180" i="7"/>
  <c r="H181" i="7" s="1"/>
  <c r="H182" i="7" s="1"/>
  <c r="I226" i="7"/>
  <c r="I228" i="7" s="1"/>
  <c r="I664" i="7"/>
  <c r="I773" i="7" s="1"/>
  <c r="J774" i="7" s="1"/>
  <c r="I277" i="7"/>
  <c r="J232" i="7" l="1"/>
  <c r="J214" i="7"/>
  <c r="J143" i="7"/>
  <c r="J145" i="7" s="1"/>
  <c r="J148" i="7" s="1"/>
  <c r="H184" i="7"/>
  <c r="I237" i="7"/>
  <c r="I238" i="7" s="1"/>
  <c r="I245" i="7" s="1"/>
  <c r="I247" i="7" s="1"/>
  <c r="I150" i="7" s="1"/>
  <c r="I149" i="7"/>
  <c r="I283" i="7"/>
  <c r="I286" i="7" s="1"/>
  <c r="I179" i="7"/>
  <c r="J118" i="7"/>
  <c r="I152" i="7" l="1"/>
  <c r="I154" i="7" s="1"/>
  <c r="I155" i="7" s="1"/>
  <c r="I307" i="7"/>
  <c r="I309" i="7" s="1"/>
  <c r="I191" i="7" s="1"/>
  <c r="J236" i="7"/>
  <c r="J218" i="7"/>
  <c r="J219" i="7" s="1"/>
  <c r="J661" i="7"/>
  <c r="H185" i="7"/>
  <c r="J280" i="7"/>
  <c r="J165" i="7"/>
  <c r="J166" i="7" s="1"/>
  <c r="J169" i="7" s="1"/>
  <c r="J251" i="7"/>
  <c r="J254" i="7" s="1"/>
  <c r="J275" i="7" s="1"/>
  <c r="J122" i="7"/>
  <c r="J123" i="7" s="1"/>
  <c r="J134" i="7" s="1"/>
  <c r="H186" i="7" l="1"/>
  <c r="I180" i="7"/>
  <c r="I181" i="7" s="1"/>
  <c r="I182" i="7" s="1"/>
  <c r="J226" i="7"/>
  <c r="J228" i="7" s="1"/>
  <c r="J664" i="7"/>
  <c r="J773" i="7" s="1"/>
  <c r="K774" i="7" s="1"/>
  <c r="J277" i="7"/>
  <c r="K232" i="7" l="1"/>
  <c r="K214" i="7"/>
  <c r="K143" i="7"/>
  <c r="K145" i="7" s="1"/>
  <c r="K148" i="7" s="1"/>
  <c r="I184" i="7"/>
  <c r="J237" i="7"/>
  <c r="J238" i="7" s="1"/>
  <c r="J245" i="7" s="1"/>
  <c r="J247" i="7" s="1"/>
  <c r="J150" i="7" s="1"/>
  <c r="J149" i="7"/>
  <c r="J179" i="7"/>
  <c r="J283" i="7"/>
  <c r="J286" i="7" s="1"/>
  <c r="K118" i="7"/>
  <c r="J152" i="7" l="1"/>
  <c r="J154" i="7" s="1"/>
  <c r="J155" i="7" s="1"/>
  <c r="J307" i="7"/>
  <c r="J309" i="7" s="1"/>
  <c r="J191" i="7" s="1"/>
  <c r="K236" i="7"/>
  <c r="K218" i="7"/>
  <c r="K219" i="7" s="1"/>
  <c r="K661" i="7"/>
  <c r="I185" i="7"/>
  <c r="K280" i="7"/>
  <c r="K165" i="7"/>
  <c r="K166" i="7" s="1"/>
  <c r="K169" i="7" s="1"/>
  <c r="K251" i="7"/>
  <c r="K254" i="7" s="1"/>
  <c r="K275" i="7" s="1"/>
  <c r="K122" i="7"/>
  <c r="K123" i="7" s="1"/>
  <c r="K134" i="7" s="1"/>
  <c r="I186" i="7" l="1"/>
  <c r="J180" i="7"/>
  <c r="J181" i="7" s="1"/>
  <c r="J182" i="7" s="1"/>
  <c r="K226" i="7"/>
  <c r="K228" i="7" s="1"/>
  <c r="K664" i="7"/>
  <c r="K773" i="7" s="1"/>
  <c r="L774" i="7" s="1"/>
  <c r="K277" i="7"/>
  <c r="L214" i="7" l="1"/>
  <c r="L143" i="7"/>
  <c r="L145" i="7" s="1"/>
  <c r="L148" i="7" s="1"/>
  <c r="L232" i="7"/>
  <c r="J184" i="7"/>
  <c r="J185" i="7" s="1"/>
  <c r="J186" i="7" s="1"/>
  <c r="K237" i="7"/>
  <c r="K238" i="7" s="1"/>
  <c r="K245" i="7" s="1"/>
  <c r="K247" i="7" s="1"/>
  <c r="K150" i="7" s="1"/>
  <c r="K149" i="7"/>
  <c r="K283" i="7"/>
  <c r="K286" i="7" s="1"/>
  <c r="K179" i="7"/>
  <c r="L118" i="7"/>
  <c r="K152" i="7" l="1"/>
  <c r="K154" i="7" s="1"/>
  <c r="K155" i="7" s="1"/>
  <c r="K307" i="7"/>
  <c r="K309" i="7" s="1"/>
  <c r="K191" i="7" s="1"/>
  <c r="L236" i="7"/>
  <c r="L218" i="7"/>
  <c r="L219" i="7" s="1"/>
  <c r="L661" i="7"/>
  <c r="L280" i="7"/>
  <c r="L165" i="7"/>
  <c r="L166" i="7" s="1"/>
  <c r="L169" i="7" s="1"/>
  <c r="L251" i="7"/>
  <c r="L254" i="7" s="1"/>
  <c r="L275" i="7" s="1"/>
  <c r="L122" i="7"/>
  <c r="L123" i="7" s="1"/>
  <c r="L134" i="7" s="1"/>
  <c r="K180" i="7" l="1"/>
  <c r="K181" i="7" s="1"/>
  <c r="K182" i="7" s="1"/>
  <c r="L226" i="7"/>
  <c r="L228" i="7" s="1"/>
  <c r="L664" i="7"/>
  <c r="L773" i="7" s="1"/>
  <c r="M774" i="7" s="1"/>
  <c r="L277" i="7"/>
  <c r="M143" i="7" l="1"/>
  <c r="M145" i="7" s="1"/>
  <c r="M148" i="7" s="1"/>
  <c r="M232" i="7"/>
  <c r="M214" i="7"/>
  <c r="K184" i="7"/>
  <c r="K185" i="7" s="1"/>
  <c r="K186" i="7" s="1"/>
  <c r="L237" i="7"/>
  <c r="L238" i="7" s="1"/>
  <c r="L245" i="7" s="1"/>
  <c r="L247" i="7" s="1"/>
  <c r="L150" i="7" s="1"/>
  <c r="L149" i="7"/>
  <c r="L283" i="7"/>
  <c r="L286" i="7" s="1"/>
  <c r="L179" i="7"/>
  <c r="M118" i="7"/>
  <c r="L152" i="7" l="1"/>
  <c r="L154" i="7" s="1"/>
  <c r="L155" i="7" s="1"/>
  <c r="L307" i="7"/>
  <c r="L309" i="7" s="1"/>
  <c r="L191" i="7" s="1"/>
  <c r="M236" i="7"/>
  <c r="M218" i="7"/>
  <c r="M219" i="7" s="1"/>
  <c r="M661" i="7"/>
  <c r="M280" i="7"/>
  <c r="M165" i="7"/>
  <c r="M166" i="7" s="1"/>
  <c r="M169" i="7" s="1"/>
  <c r="M251" i="7"/>
  <c r="M254" i="7" s="1"/>
  <c r="M275" i="7" s="1"/>
  <c r="M122" i="7"/>
  <c r="M123" i="7" s="1"/>
  <c r="M134" i="7" s="1"/>
  <c r="L180" i="7" l="1"/>
  <c r="L181" i="7" s="1"/>
  <c r="L182" i="7" s="1"/>
  <c r="M226" i="7"/>
  <c r="M228" i="7" s="1"/>
  <c r="M664" i="7"/>
  <c r="M773" i="7" s="1"/>
  <c r="N774" i="7" s="1"/>
  <c r="M277" i="7"/>
  <c r="N214" i="7" l="1"/>
  <c r="N232" i="7"/>
  <c r="N143" i="7"/>
  <c r="N145" i="7" s="1"/>
  <c r="N148" i="7" s="1"/>
  <c r="L184" i="7"/>
  <c r="L185" i="7" s="1"/>
  <c r="L186" i="7" s="1"/>
  <c r="M237" i="7"/>
  <c r="M238" i="7" s="1"/>
  <c r="M245" i="7" s="1"/>
  <c r="M247" i="7" s="1"/>
  <c r="M150" i="7" s="1"/>
  <c r="M149" i="7"/>
  <c r="M283" i="7"/>
  <c r="M286" i="7" s="1"/>
  <c r="M179" i="7"/>
  <c r="N118" i="7"/>
  <c r="M152" i="7" l="1"/>
  <c r="M154" i="7" s="1"/>
  <c r="M155" i="7" s="1"/>
  <c r="M307" i="7"/>
  <c r="M309" i="7" s="1"/>
  <c r="M191" i="7" s="1"/>
  <c r="N236" i="7"/>
  <c r="N218" i="7"/>
  <c r="N219" i="7" s="1"/>
  <c r="N661" i="7"/>
  <c r="N280" i="7"/>
  <c r="N165" i="7"/>
  <c r="N166" i="7" s="1"/>
  <c r="N169" i="7" s="1"/>
  <c r="N251" i="7"/>
  <c r="N254" i="7" s="1"/>
  <c r="N275" i="7" s="1"/>
  <c r="N122" i="7"/>
  <c r="N123" i="7" s="1"/>
  <c r="N134" i="7" s="1"/>
  <c r="M180" i="7" l="1"/>
  <c r="M181" i="7" s="1"/>
  <c r="M182" i="7" s="1"/>
  <c r="N226" i="7"/>
  <c r="N228" i="7" s="1"/>
  <c r="N664" i="7"/>
  <c r="N773" i="7" s="1"/>
  <c r="O774" i="7" s="1"/>
  <c r="N277" i="7"/>
  <c r="O143" i="7" l="1"/>
  <c r="O145" i="7" s="1"/>
  <c r="O148" i="7" s="1"/>
  <c r="O214" i="7"/>
  <c r="O232" i="7"/>
  <c r="M184" i="7"/>
  <c r="M185" i="7" s="1"/>
  <c r="M186" i="7" s="1"/>
  <c r="N237" i="7"/>
  <c r="N238" i="7" s="1"/>
  <c r="N245" i="7" s="1"/>
  <c r="N247" i="7" s="1"/>
  <c r="N150" i="7" s="1"/>
  <c r="N149" i="7"/>
  <c r="N283" i="7"/>
  <c r="N286" i="7" s="1"/>
  <c r="N179" i="7"/>
  <c r="O118" i="7"/>
  <c r="N152" i="7" l="1"/>
  <c r="N154" i="7" s="1"/>
  <c r="N155" i="7" s="1"/>
  <c r="N307" i="7"/>
  <c r="N309" i="7" s="1"/>
  <c r="N191" i="7" s="1"/>
  <c r="O236" i="7"/>
  <c r="O218" i="7"/>
  <c r="O219" i="7" s="1"/>
  <c r="O661" i="7"/>
  <c r="O280" i="7"/>
  <c r="O165" i="7"/>
  <c r="O166" i="7" s="1"/>
  <c r="O169" i="7" s="1"/>
  <c r="O251" i="7"/>
  <c r="O254" i="7" s="1"/>
  <c r="O275" i="7" s="1"/>
  <c r="O122" i="7"/>
  <c r="O123" i="7" s="1"/>
  <c r="O134" i="7" s="1"/>
  <c r="N180" i="7" l="1"/>
  <c r="N181" i="7" s="1"/>
  <c r="N182" i="7" s="1"/>
  <c r="O226" i="7"/>
  <c r="O228" i="7" s="1"/>
  <c r="O664" i="7"/>
  <c r="O773" i="7" s="1"/>
  <c r="P774" i="7" s="1"/>
  <c r="O277" i="7"/>
  <c r="P214" i="7" l="1"/>
  <c r="P232" i="7"/>
  <c r="P143" i="7"/>
  <c r="P145" i="7" s="1"/>
  <c r="P148" i="7" s="1"/>
  <c r="N184" i="7"/>
  <c r="N185" i="7" s="1"/>
  <c r="N186" i="7" s="1"/>
  <c r="O237" i="7"/>
  <c r="O238" i="7" s="1"/>
  <c r="O245" i="7" s="1"/>
  <c r="O247" i="7" s="1"/>
  <c r="O150" i="7" s="1"/>
  <c r="O149" i="7"/>
  <c r="O283" i="7"/>
  <c r="O286" i="7" s="1"/>
  <c r="O179" i="7"/>
  <c r="P118" i="7"/>
  <c r="O152" i="7" l="1"/>
  <c r="O154" i="7" s="1"/>
  <c r="O155" i="7" s="1"/>
  <c r="O307" i="7"/>
  <c r="O309" i="7" s="1"/>
  <c r="O191" i="7" s="1"/>
  <c r="P236" i="7"/>
  <c r="P218" i="7"/>
  <c r="P219" i="7" s="1"/>
  <c r="P661" i="7"/>
  <c r="P280" i="7"/>
  <c r="P165" i="7"/>
  <c r="P166" i="7" s="1"/>
  <c r="P169" i="7" s="1"/>
  <c r="P251" i="7"/>
  <c r="P254" i="7" s="1"/>
  <c r="P275" i="7" s="1"/>
  <c r="P122" i="7"/>
  <c r="P123" i="7" s="1"/>
  <c r="P134" i="7" s="1"/>
  <c r="O180" i="7" l="1"/>
  <c r="O181" i="7" s="1"/>
  <c r="O182" i="7" s="1"/>
  <c r="P226" i="7"/>
  <c r="P228" i="7" s="1"/>
  <c r="P664" i="7"/>
  <c r="P773" i="7" s="1"/>
  <c r="Q774" i="7" s="1"/>
  <c r="P277" i="7"/>
  <c r="Q214" i="7" l="1"/>
  <c r="Q232" i="7"/>
  <c r="Q143" i="7"/>
  <c r="Q145" i="7" s="1"/>
  <c r="Q148" i="7" s="1"/>
  <c r="O184" i="7"/>
  <c r="O185" i="7" s="1"/>
  <c r="O186" i="7" s="1"/>
  <c r="P237" i="7"/>
  <c r="P238" i="7" s="1"/>
  <c r="P245" i="7" s="1"/>
  <c r="P247" i="7" s="1"/>
  <c r="P150" i="7" s="1"/>
  <c r="P149" i="7"/>
  <c r="P283" i="7"/>
  <c r="P286" i="7" s="1"/>
  <c r="P179" i="7"/>
  <c r="Q118" i="7"/>
  <c r="P152" i="7" l="1"/>
  <c r="P154" i="7" s="1"/>
  <c r="P155" i="7" s="1"/>
  <c r="P307" i="7"/>
  <c r="P309" i="7" s="1"/>
  <c r="P191" i="7" s="1"/>
  <c r="Q236" i="7"/>
  <c r="Q218" i="7"/>
  <c r="Q219" i="7" s="1"/>
  <c r="Q661" i="7"/>
  <c r="Q280" i="7"/>
  <c r="Q165" i="7"/>
  <c r="Q166" i="7" s="1"/>
  <c r="Q169" i="7" s="1"/>
  <c r="Q251" i="7"/>
  <c r="Q254" i="7" s="1"/>
  <c r="Q275" i="7" s="1"/>
  <c r="Q122" i="7"/>
  <c r="Q123" i="7" s="1"/>
  <c r="Q134" i="7" s="1"/>
  <c r="P180" i="7" l="1"/>
  <c r="P181" i="7" s="1"/>
  <c r="P182" i="7" s="1"/>
  <c r="Q226" i="7"/>
  <c r="Q228" i="7" s="1"/>
  <c r="Q664" i="7"/>
  <c r="Q773" i="7" s="1"/>
  <c r="R774" i="7" s="1"/>
  <c r="Q277" i="7"/>
  <c r="R143" i="7" l="1"/>
  <c r="R145" i="7" s="1"/>
  <c r="R148" i="7" s="1"/>
  <c r="R232" i="7"/>
  <c r="R214" i="7"/>
  <c r="P184" i="7"/>
  <c r="P185" i="7" s="1"/>
  <c r="P186" i="7" s="1"/>
  <c r="Q237" i="7"/>
  <c r="Q238" i="7" s="1"/>
  <c r="Q245" i="7" s="1"/>
  <c r="Q247" i="7" s="1"/>
  <c r="Q150" i="7" s="1"/>
  <c r="Q149" i="7"/>
  <c r="Q283" i="7"/>
  <c r="Q286" i="7" s="1"/>
  <c r="Q179" i="7"/>
  <c r="R118" i="7"/>
  <c r="Q152" i="7" l="1"/>
  <c r="Q154" i="7" s="1"/>
  <c r="Q155" i="7" s="1"/>
  <c r="Q307" i="7"/>
  <c r="Q309" i="7" s="1"/>
  <c r="Q191" i="7" s="1"/>
  <c r="R236" i="7"/>
  <c r="R218" i="7"/>
  <c r="R219" i="7" s="1"/>
  <c r="R661" i="7"/>
  <c r="R280" i="7"/>
  <c r="R165" i="7"/>
  <c r="R166" i="7" s="1"/>
  <c r="R169" i="7" s="1"/>
  <c r="R251" i="7"/>
  <c r="R254" i="7" s="1"/>
  <c r="R275" i="7" s="1"/>
  <c r="R122" i="7"/>
  <c r="R123" i="7" s="1"/>
  <c r="R134" i="7" s="1"/>
  <c r="Q180" i="7" l="1"/>
  <c r="Q181" i="7" s="1"/>
  <c r="Q182" i="7" s="1"/>
  <c r="R226" i="7"/>
  <c r="R228" i="7" s="1"/>
  <c r="R664" i="7"/>
  <c r="R773" i="7" s="1"/>
  <c r="S774" i="7" s="1"/>
  <c r="R277" i="7"/>
  <c r="S232" i="7" l="1"/>
  <c r="S143" i="7"/>
  <c r="S145" i="7" s="1"/>
  <c r="S148" i="7" s="1"/>
  <c r="S214" i="7"/>
  <c r="Q184" i="7"/>
  <c r="Q185" i="7" s="1"/>
  <c r="Q186" i="7" s="1"/>
  <c r="R237" i="7"/>
  <c r="R238" i="7" s="1"/>
  <c r="R245" i="7" s="1"/>
  <c r="R247" i="7" s="1"/>
  <c r="R150" i="7" s="1"/>
  <c r="R149" i="7"/>
  <c r="R179" i="7"/>
  <c r="R283" i="7"/>
  <c r="R286" i="7" s="1"/>
  <c r="S118" i="7"/>
  <c r="R152" i="7" l="1"/>
  <c r="R154" i="7" s="1"/>
  <c r="R155" i="7" s="1"/>
  <c r="R307" i="7"/>
  <c r="R309" i="7" s="1"/>
  <c r="R191" i="7" s="1"/>
  <c r="S236" i="7"/>
  <c r="S218" i="7"/>
  <c r="S219" i="7" s="1"/>
  <c r="S661" i="7"/>
  <c r="S280" i="7"/>
  <c r="S165" i="7"/>
  <c r="S166" i="7" s="1"/>
  <c r="S169" i="7" s="1"/>
  <c r="S251" i="7"/>
  <c r="S254" i="7" s="1"/>
  <c r="S275" i="7" s="1"/>
  <c r="S122" i="7"/>
  <c r="S123" i="7" s="1"/>
  <c r="S134" i="7" s="1"/>
  <c r="R180" i="7" l="1"/>
  <c r="R181" i="7" s="1"/>
  <c r="R182" i="7" s="1"/>
  <c r="S226" i="7"/>
  <c r="S228" i="7" s="1"/>
  <c r="S664" i="7"/>
  <c r="S773" i="7" s="1"/>
  <c r="T774" i="7" s="1"/>
  <c r="S277" i="7"/>
  <c r="T143" i="7" l="1"/>
  <c r="T145" i="7" s="1"/>
  <c r="T148" i="7" s="1"/>
  <c r="T214" i="7"/>
  <c r="T232" i="7"/>
  <c r="R184" i="7"/>
  <c r="R185" i="7" s="1"/>
  <c r="R186" i="7" s="1"/>
  <c r="S237" i="7"/>
  <c r="S238" i="7" s="1"/>
  <c r="S245" i="7" s="1"/>
  <c r="S247" i="7" s="1"/>
  <c r="S150" i="7" s="1"/>
  <c r="S149" i="7"/>
  <c r="S283" i="7"/>
  <c r="S286" i="7" s="1"/>
  <c r="S179" i="7"/>
  <c r="T118" i="7"/>
  <c r="S152" i="7" l="1"/>
  <c r="S154" i="7" s="1"/>
  <c r="S155" i="7" s="1"/>
  <c r="S307" i="7"/>
  <c r="S309" i="7" s="1"/>
  <c r="S191" i="7" s="1"/>
  <c r="T236" i="7"/>
  <c r="T218" i="7"/>
  <c r="T219" i="7" s="1"/>
  <c r="T661" i="7"/>
  <c r="T280" i="7"/>
  <c r="T165" i="7"/>
  <c r="T166" i="7" s="1"/>
  <c r="T169" i="7" s="1"/>
  <c r="T251" i="7"/>
  <c r="T254" i="7" s="1"/>
  <c r="T275" i="7" s="1"/>
  <c r="T122" i="7"/>
  <c r="T123" i="7" s="1"/>
  <c r="T134" i="7" s="1"/>
  <c r="S180" i="7" l="1"/>
  <c r="S181" i="7" s="1"/>
  <c r="S182" i="7" s="1"/>
  <c r="T226" i="7"/>
  <c r="T228" i="7" s="1"/>
  <c r="T664" i="7"/>
  <c r="T277" i="7"/>
  <c r="S184" i="7" l="1"/>
  <c r="S185" i="7" s="1"/>
  <c r="S186" i="7" s="1"/>
  <c r="T237" i="7"/>
  <c r="T238" i="7" s="1"/>
  <c r="T245" i="7" s="1"/>
  <c r="T247" i="7" s="1"/>
  <c r="T150" i="7" s="1"/>
  <c r="T149" i="7"/>
  <c r="U661" i="7"/>
  <c r="U664" i="7" s="1"/>
  <c r="T773" i="7"/>
  <c r="U774" i="7" s="1"/>
  <c r="T283" i="7"/>
  <c r="T286" i="7" s="1"/>
  <c r="T179" i="7"/>
  <c r="U214" i="7" l="1"/>
  <c r="U219" i="7" s="1"/>
  <c r="U226" i="7" s="1"/>
  <c r="U228" i="7" s="1"/>
  <c r="U143" i="7"/>
  <c r="U145" i="7" s="1"/>
  <c r="U148" i="7" s="1"/>
  <c r="U232" i="7"/>
  <c r="T152" i="7"/>
  <c r="T307" i="7"/>
  <c r="T309" i="7" s="1"/>
  <c r="T191" i="7" s="1"/>
  <c r="B195" i="7" s="1"/>
  <c r="B197" i="7" s="1"/>
  <c r="F12" i="1" s="1"/>
  <c r="U773" i="7"/>
  <c r="V774" i="7" s="1"/>
  <c r="V661" i="7"/>
  <c r="V664" i="7" s="1"/>
  <c r="V232" i="7" l="1"/>
  <c r="V143" i="7"/>
  <c r="V145" i="7" s="1"/>
  <c r="V148" i="7" s="1"/>
  <c r="V214" i="7"/>
  <c r="V219" i="7" s="1"/>
  <c r="V226" i="7" s="1"/>
  <c r="V228" i="7" s="1"/>
  <c r="U152" i="7"/>
  <c r="U154" i="7" s="1"/>
  <c r="U237" i="7"/>
  <c r="U238" i="7" s="1"/>
  <c r="U245" i="7" s="1"/>
  <c r="U247" i="7" s="1"/>
  <c r="U150" i="7" s="1"/>
  <c r="U149" i="7"/>
  <c r="T154" i="7"/>
  <c r="T155" i="7" s="1"/>
  <c r="T180" i="7"/>
  <c r="T181" i="7" s="1"/>
  <c r="T182" i="7" s="1"/>
  <c r="W661" i="7"/>
  <c r="W664" i="7" s="1"/>
  <c r="W773" i="7" s="1"/>
  <c r="X774" i="7" s="1"/>
  <c r="V773" i="7"/>
  <c r="W774" i="7" s="1"/>
  <c r="V237" i="7" l="1"/>
  <c r="V238" i="7" s="1"/>
  <c r="V245" i="7" s="1"/>
  <c r="V247" i="7" s="1"/>
  <c r="V150" i="7" s="1"/>
  <c r="V149" i="7"/>
  <c r="X232" i="7"/>
  <c r="X143" i="7"/>
  <c r="X145" i="7" s="1"/>
  <c r="X148" i="7" s="1"/>
  <c r="X214" i="7"/>
  <c r="X219" i="7" s="1"/>
  <c r="X226" i="7" s="1"/>
  <c r="X228" i="7" s="1"/>
  <c r="W214" i="7"/>
  <c r="W219" i="7" s="1"/>
  <c r="W226" i="7" s="1"/>
  <c r="W228" i="7" s="1"/>
  <c r="W143" i="7"/>
  <c r="W145" i="7" s="1"/>
  <c r="W148" i="7" s="1"/>
  <c r="W232" i="7"/>
  <c r="B188" i="7"/>
  <c r="F16" i="1" s="1"/>
  <c r="AN184" i="7"/>
  <c r="AJ184" i="7"/>
  <c r="AK184" i="7"/>
  <c r="X184" i="7"/>
  <c r="T184" i="7"/>
  <c r="T185" i="7" s="1"/>
  <c r="Z184" i="7"/>
  <c r="W184" i="7"/>
  <c r="AG184" i="7"/>
  <c r="AM184" i="7"/>
  <c r="AF184" i="7"/>
  <c r="AB184" i="7"/>
  <c r="AO184" i="7"/>
  <c r="AH184" i="7"/>
  <c r="AA184" i="7"/>
  <c r="F15" i="1" s="1"/>
  <c r="U184" i="7"/>
  <c r="Y184" i="7"/>
  <c r="AC184" i="7"/>
  <c r="AI184" i="7"/>
  <c r="V184" i="7"/>
  <c r="F13" i="1" s="1"/>
  <c r="AL184" i="7"/>
  <c r="AE184" i="7"/>
  <c r="AP184" i="7"/>
  <c r="AD184" i="7"/>
  <c r="U155" i="7"/>
  <c r="X661" i="7"/>
  <c r="X664" i="7" s="1"/>
  <c r="X773" i="7" s="1"/>
  <c r="Y774" i="7" s="1"/>
  <c r="V152" i="7" l="1"/>
  <c r="Y214" i="7"/>
  <c r="Y219" i="7" s="1"/>
  <c r="Y226" i="7" s="1"/>
  <c r="Y228" i="7" s="1"/>
  <c r="Y143" i="7"/>
  <c r="Y145" i="7" s="1"/>
  <c r="Y148" i="7" s="1"/>
  <c r="Y232" i="7"/>
  <c r="V154" i="7"/>
  <c r="X237" i="7"/>
  <c r="X238" i="7" s="1"/>
  <c r="X245" i="7" s="1"/>
  <c r="X247" i="7" s="1"/>
  <c r="X150" i="7" s="1"/>
  <c r="X149" i="7"/>
  <c r="W237" i="7"/>
  <c r="W238" i="7" s="1"/>
  <c r="W245" i="7" s="1"/>
  <c r="W247" i="7" s="1"/>
  <c r="W150" i="7" s="1"/>
  <c r="W149" i="7"/>
  <c r="T186" i="7"/>
  <c r="Y661" i="7"/>
  <c r="Y664" i="7" s="1"/>
  <c r="Z185" i="7"/>
  <c r="W185" i="7"/>
  <c r="AN185" i="7"/>
  <c r="AG185" i="7"/>
  <c r="AF185" i="7"/>
  <c r="AB185" i="7"/>
  <c r="AD185" i="7"/>
  <c r="AH185" i="7"/>
  <c r="AK185" i="7"/>
  <c r="AL185" i="7"/>
  <c r="AP185" i="7"/>
  <c r="Y185" i="7"/>
  <c r="V185" i="7"/>
  <c r="AC185" i="7"/>
  <c r="AJ185" i="7"/>
  <c r="AM185" i="7"/>
  <c r="AE185" i="7"/>
  <c r="X185" i="7"/>
  <c r="AA185" i="7"/>
  <c r="AI185" i="7"/>
  <c r="U185" i="7"/>
  <c r="AO185" i="7"/>
  <c r="W152" i="7" l="1"/>
  <c r="X152" i="7"/>
  <c r="X154" i="7" s="1"/>
  <c r="W154" i="7"/>
  <c r="V155" i="7"/>
  <c r="Y149" i="7"/>
  <c r="Y237" i="7"/>
  <c r="Y238" i="7" s="1"/>
  <c r="Y245" i="7" s="1"/>
  <c r="Y247" i="7" s="1"/>
  <c r="Y150" i="7" s="1"/>
  <c r="V186" i="7"/>
  <c r="AF186" i="7"/>
  <c r="AG186" i="7"/>
  <c r="AD186" i="7"/>
  <c r="AP186" i="7"/>
  <c r="AA186" i="7"/>
  <c r="AJ186" i="7"/>
  <c r="AN186" i="7"/>
  <c r="W186" i="7"/>
  <c r="AL186" i="7"/>
  <c r="AB186" i="7"/>
  <c r="AI186" i="7"/>
  <c r="AH186" i="7"/>
  <c r="Z186" i="7"/>
  <c r="AK186" i="7"/>
  <c r="AE186" i="7"/>
  <c r="AO186" i="7"/>
  <c r="Y186" i="7"/>
  <c r="AM186" i="7"/>
  <c r="AC186" i="7"/>
  <c r="X186" i="7"/>
  <c r="U186" i="7"/>
  <c r="Z661" i="7"/>
  <c r="Z664" i="7" s="1"/>
  <c r="Z773" i="7" s="1"/>
  <c r="AA774" i="7" s="1"/>
  <c r="Y773" i="7"/>
  <c r="Z774" i="7" s="1"/>
  <c r="X155" i="7" l="1"/>
  <c r="W155" i="7"/>
  <c r="Y152" i="7"/>
  <c r="Y154" i="7"/>
  <c r="Y155" i="7" s="1"/>
  <c r="Z214" i="7"/>
  <c r="Z219" i="7" s="1"/>
  <c r="Z226" i="7" s="1"/>
  <c r="Z228" i="7" s="1"/>
  <c r="Z143" i="7"/>
  <c r="Z145" i="7" s="1"/>
  <c r="Z148" i="7" s="1"/>
  <c r="Z232" i="7"/>
  <c r="AA214" i="7"/>
  <c r="AA219" i="7" s="1"/>
  <c r="AA226" i="7" s="1"/>
  <c r="AA228" i="7" s="1"/>
  <c r="AA143" i="7"/>
  <c r="AA145" i="7" s="1"/>
  <c r="AA148" i="7" s="1"/>
  <c r="AA232" i="7"/>
  <c r="AA661" i="7"/>
  <c r="AA664" i="7" s="1"/>
  <c r="B186" i="7"/>
  <c r="F14" i="1" s="1"/>
  <c r="AA237" i="7" l="1"/>
  <c r="AA238" i="7" s="1"/>
  <c r="AA245" i="7" s="1"/>
  <c r="AA247" i="7" s="1"/>
  <c r="AA150" i="7" s="1"/>
  <c r="AA149" i="7"/>
  <c r="Z149" i="7"/>
  <c r="Z237" i="7"/>
  <c r="Z238" i="7" s="1"/>
  <c r="Z245" i="7" s="1"/>
  <c r="Z247" i="7" s="1"/>
  <c r="Z150" i="7" s="1"/>
  <c r="AA773" i="7"/>
  <c r="AB661" i="7"/>
  <c r="AB664" i="7" s="1"/>
  <c r="AA152" i="7" l="1"/>
  <c r="Z152" i="7"/>
  <c r="AB154" i="7" s="1"/>
  <c r="AJ154" i="7"/>
  <c r="AC154" i="7"/>
  <c r="AC661" i="7"/>
  <c r="AC664" i="7" s="1"/>
  <c r="AB773" i="7"/>
  <c r="Z154" i="7" l="1"/>
  <c r="Z155" i="7" s="1"/>
  <c r="B157" i="7"/>
  <c r="F18" i="1" s="1"/>
  <c r="AF154" i="7"/>
  <c r="AO154" i="7"/>
  <c r="AE154" i="7"/>
  <c r="AL154" i="7"/>
  <c r="AH154" i="7"/>
  <c r="AP154" i="7"/>
  <c r="AN154" i="7"/>
  <c r="AD154" i="7"/>
  <c r="AA154" i="7"/>
  <c r="F17" i="1" s="1"/>
  <c r="AK154" i="7"/>
  <c r="AM154" i="7"/>
  <c r="AG154" i="7"/>
  <c r="AI154" i="7"/>
  <c r="AD661" i="7"/>
  <c r="AD664" i="7" s="1"/>
  <c r="AC773" i="7"/>
  <c r="AA155" i="7" l="1"/>
  <c r="AC155" i="7"/>
  <c r="AG155" i="7"/>
  <c r="AD155" i="7"/>
  <c r="AB155" i="7"/>
  <c r="AF155" i="7"/>
  <c r="AE155" i="7"/>
  <c r="AL155" i="7"/>
  <c r="AH155" i="7"/>
  <c r="AO155" i="7"/>
  <c r="AP155" i="7"/>
  <c r="AI155" i="7"/>
  <c r="AK155" i="7"/>
  <c r="AJ155" i="7"/>
  <c r="AM155" i="7"/>
  <c r="AN155" i="7"/>
  <c r="AE661" i="7"/>
  <c r="AE664" i="7" s="1"/>
  <c r="AD773" i="7"/>
  <c r="AF661" i="7" l="1"/>
  <c r="AF664" i="7" s="1"/>
  <c r="AE773" i="7"/>
  <c r="AG661" i="7" l="1"/>
  <c r="AG664" i="7" s="1"/>
  <c r="AF773" i="7"/>
  <c r="AH661" i="7" l="1"/>
  <c r="AH664" i="7" s="1"/>
  <c r="AG773" i="7"/>
  <c r="AI661" i="7" l="1"/>
  <c r="AI664" i="7" s="1"/>
  <c r="AH773" i="7"/>
  <c r="AJ661" i="7" l="1"/>
  <c r="AJ664" i="7" s="1"/>
  <c r="AJ773" i="7" s="1"/>
  <c r="AI773" i="7"/>
  <c r="AK661" i="7" l="1"/>
  <c r="AK664" i="7" s="1"/>
  <c r="AK773" i="7" s="1"/>
  <c r="AL661" i="7" l="1"/>
  <c r="AL664" i="7" s="1"/>
  <c r="AM661" i="7" l="1"/>
  <c r="AM664" i="7" s="1"/>
  <c r="AM773" i="7" s="1"/>
  <c r="AL773" i="7"/>
  <c r="AN661" i="7" l="1"/>
  <c r="AN664" i="7" s="1"/>
  <c r="AO661" i="7" l="1"/>
  <c r="AO664" i="7" s="1"/>
  <c r="AN773" i="7"/>
  <c r="AP661" i="7" l="1"/>
  <c r="AP664" i="7" s="1"/>
  <c r="AP773" i="7" s="1"/>
  <c r="AO773" i="7"/>
</calcChain>
</file>

<file path=xl/sharedStrings.xml><?xml version="1.0" encoding="utf-8"?>
<sst xmlns="http://schemas.openxmlformats.org/spreadsheetml/2006/main" count="821" uniqueCount="445">
  <si>
    <t>Property Tax</t>
  </si>
  <si>
    <t>Operating Year</t>
  </si>
  <si>
    <t>Investment Tax Credit</t>
  </si>
  <si>
    <t>Amount</t>
  </si>
  <si>
    <t>Federal</t>
  </si>
  <si>
    <t>State</t>
  </si>
  <si>
    <t>Production Tax Credit</t>
  </si>
  <si>
    <t>%</t>
  </si>
  <si>
    <t>Maximum</t>
  </si>
  <si>
    <t>Amount ($/kWh)</t>
  </si>
  <si>
    <t>Price  (¢/kWh)</t>
  </si>
  <si>
    <t>Capacity (DC kW)</t>
  </si>
  <si>
    <t>Fixed Cost ($/DC kW-yr)</t>
  </si>
  <si>
    <t>Total</t>
  </si>
  <si>
    <t>Generation (AC-MWh)</t>
  </si>
  <si>
    <t>Variable Cost ($/AC-MWh)</t>
  </si>
  <si>
    <t>Investment Based Incentive (IBI)</t>
  </si>
  <si>
    <t>Yes</t>
  </si>
  <si>
    <t>No</t>
  </si>
  <si>
    <t>Total Expenses</t>
  </si>
  <si>
    <t>Total PBI</t>
  </si>
  <si>
    <t>Summary</t>
  </si>
  <si>
    <t>Funding</t>
  </si>
  <si>
    <t>Principal</t>
  </si>
  <si>
    <t>Interest</t>
  </si>
  <si>
    <t>Production Based Incentive (PBI)</t>
  </si>
  <si>
    <t>Incentive ($/kWh)</t>
  </si>
  <si>
    <t>Generation (kWh)</t>
  </si>
  <si>
    <t>Capacity Based Incentive (CBI)</t>
  </si>
  <si>
    <t>Insurance</t>
  </si>
  <si>
    <t>5-yr MACRS</t>
  </si>
  <si>
    <t>15-yr MACRS</t>
  </si>
  <si>
    <t>5-yr SL</t>
  </si>
  <si>
    <t>15-yr SL</t>
  </si>
  <si>
    <t>20-yr SL</t>
  </si>
  <si>
    <t>39-yr SL</t>
  </si>
  <si>
    <t>Salvage Value</t>
  </si>
  <si>
    <t>Gross Amount Allocated</t>
  </si>
  <si>
    <t>Total Basis Reduction</t>
  </si>
  <si>
    <t>Reduction: IBI</t>
  </si>
  <si>
    <t>Reduction: CBI</t>
  </si>
  <si>
    <t>% of Total Depreciable Basis</t>
  </si>
  <si>
    <t>Depreciable Basis Prior to ITC</t>
  </si>
  <si>
    <t>Depreciable Basis After ITC Reduction</t>
  </si>
  <si>
    <t>Applicable %</t>
  </si>
  <si>
    <t>State ITC</t>
  </si>
  <si>
    <t>ITC Qualifying Costs</t>
  </si>
  <si>
    <t>ITC Amount</t>
  </si>
  <si>
    <t>% of ITC Qualifying Costs</t>
  </si>
  <si>
    <t>ITC Basis Disallowance</t>
  </si>
  <si>
    <t>Depreciable Basis Incentive Reductions</t>
  </si>
  <si>
    <t>ITC as % of Project Cost</t>
  </si>
  <si>
    <t>ITC as Fixed Amount</t>
  </si>
  <si>
    <t>ITC Reduction: State</t>
  </si>
  <si>
    <t>ITC Reduction: Federal</t>
  </si>
  <si>
    <t>Production Tax Credit (PTC)</t>
  </si>
  <si>
    <t>Production (MWh)</t>
  </si>
  <si>
    <t>Cash Flows from Investing Activities</t>
  </si>
  <si>
    <t>Cash Flows from Financing Activities</t>
  </si>
  <si>
    <t>Reserve Accounts</t>
  </si>
  <si>
    <t>Funding (through operations)</t>
  </si>
  <si>
    <t>Major Equipment Replacement Depreciation</t>
  </si>
  <si>
    <t>Timing</t>
  </si>
  <si>
    <t>Depreciation Schedule Selected</t>
  </si>
  <si>
    <t>Year</t>
  </si>
  <si>
    <t>Depreciation Percent</t>
  </si>
  <si>
    <t>Depreciation Amount</t>
  </si>
  <si>
    <t>Tax Benefit/(Liability)</t>
  </si>
  <si>
    <t>State Depreciation Amounts</t>
  </si>
  <si>
    <t>Federal Depreciation Amounts</t>
  </si>
  <si>
    <t>Total Revenue</t>
  </si>
  <si>
    <t>Partial Income Statement: Project</t>
  </si>
  <si>
    <t>KEY</t>
  </si>
  <si>
    <t>First Year Bonus Depreciation</t>
  </si>
  <si>
    <t>Depreciable Basis After Bonus Reduction</t>
  </si>
  <si>
    <t>Major Equipment Replacement 1</t>
  </si>
  <si>
    <t>Major Equipment Replacement - 2</t>
  </si>
  <si>
    <t>Major Equipment Replacement - 3</t>
  </si>
  <si>
    <t>Major Equipment Replacement 2</t>
  </si>
  <si>
    <t>Major Equipment Replacement 3</t>
  </si>
  <si>
    <t>http://www.irs.gov/pub/irs-pdf/p946.pdf</t>
  </si>
  <si>
    <t>State Depreciation &amp; ITC</t>
  </si>
  <si>
    <t>Federal Depreciation &amp; ITC</t>
  </si>
  <si>
    <t>State PTC</t>
  </si>
  <si>
    <t>SYSTEM COSTS</t>
  </si>
  <si>
    <t>SYSTEM DESIGN</t>
  </si>
  <si>
    <t>FINANCIAL PARAMETERS</t>
  </si>
  <si>
    <t>Analysis Parameters</t>
  </si>
  <si>
    <t>Tax and Insurance Rates</t>
  </si>
  <si>
    <t>Federal income tax rate (%/year)</t>
  </si>
  <si>
    <t>State income tax rate (%/year)</t>
  </si>
  <si>
    <t>Insurance rate (annual, % of installed cost)</t>
  </si>
  <si>
    <t>PPA price escalation (%/year)</t>
  </si>
  <si>
    <t>Analysis period (years, 40 max)</t>
  </si>
  <si>
    <t>Inflation rate (%/year)</t>
  </si>
  <si>
    <t>Nominal discount rate (%/year)</t>
  </si>
  <si>
    <t>Real discount rate (%/year)</t>
  </si>
  <si>
    <t>Assessed percentage (% of total installed cost)</t>
  </si>
  <si>
    <t>Annual decline (%/year)</t>
  </si>
  <si>
    <t>Assesed value ($)</t>
  </si>
  <si>
    <t>Property tax rate (%/year)</t>
  </si>
  <si>
    <t>Property tax net assessed value</t>
  </si>
  <si>
    <t>O&amp;M production-based expense</t>
  </si>
  <si>
    <t>O&amp;M capacity-based expense</t>
  </si>
  <si>
    <t>COST OF ACQUIRING FINANCING</t>
  </si>
  <si>
    <t>Loan 1</t>
  </si>
  <si>
    <t>Loan 2</t>
  </si>
  <si>
    <t>Loan 3</t>
  </si>
  <si>
    <t>Loan 4</t>
  </si>
  <si>
    <t>Loan 5</t>
  </si>
  <si>
    <t>Percent of installed cost</t>
  </si>
  <si>
    <t>Up-front fee (% of principal)</t>
  </si>
  <si>
    <t>Months prior to operation</t>
  </si>
  <si>
    <t>Annual interest rate (%)</t>
  </si>
  <si>
    <t>Total construction financing cost</t>
  </si>
  <si>
    <t>Totals:</t>
  </si>
  <si>
    <t>CONSTRUCTION FINANCING</t>
  </si>
  <si>
    <t>RESERVE ACCOUNTS</t>
  </si>
  <si>
    <t>Interest on reserves (%/year)</t>
  </si>
  <si>
    <t>Major equipment replacement reserve accounts</t>
  </si>
  <si>
    <t>Replacement  reserve 1</t>
  </si>
  <si>
    <t>Replacement  reserve 3</t>
  </si>
  <si>
    <t>Replacement  reserve 2</t>
  </si>
  <si>
    <t>Year 1 dollars</t>
  </si>
  <si>
    <t>Replacement frequency (years)</t>
  </si>
  <si>
    <t>Depreciation treatment for replacement reserves</t>
  </si>
  <si>
    <t>Working capital reserve (months of operating costs)</t>
  </si>
  <si>
    <t>TAX CREDITS</t>
  </si>
  <si>
    <t>DIRECT CASH INCENTIVES</t>
  </si>
  <si>
    <t>As fixed amount</t>
  </si>
  <si>
    <t>Federal ($)</t>
  </si>
  <si>
    <t>State ($)</t>
  </si>
  <si>
    <t>Federal (% of total installed cost)</t>
  </si>
  <si>
    <t>State (% of total installed cost)</t>
  </si>
  <si>
    <t>As percentage</t>
  </si>
  <si>
    <t>Sales tax (% of total direct cost)</t>
  </si>
  <si>
    <t>Total installed cost ($)</t>
  </si>
  <si>
    <t>OPERATION AND MAINTENANCE COSTS</t>
  </si>
  <si>
    <t>Fixed annual cost ($/yr)</t>
  </si>
  <si>
    <t>Variable cost by generation ($/MWh)</t>
  </si>
  <si>
    <t>Utility ($)</t>
  </si>
  <si>
    <t>Other ($)</t>
  </si>
  <si>
    <t>Utility (% of total installed cost)</t>
  </si>
  <si>
    <t>Other (% of total installed cost)</t>
  </si>
  <si>
    <t>Federal ($/W)</t>
  </si>
  <si>
    <t>State ($/W)</t>
  </si>
  <si>
    <t>Utility ($/W)</t>
  </si>
  <si>
    <t>Other ($/W)</t>
  </si>
  <si>
    <t>Amount ($/W)</t>
  </si>
  <si>
    <t>Federal ($/kWh)</t>
  </si>
  <si>
    <t>State ($/kWh)</t>
  </si>
  <si>
    <t>Utility ($/kWh)</t>
  </si>
  <si>
    <t>Other ($/kWh)</t>
  </si>
  <si>
    <t>Maximum ($)</t>
  </si>
  <si>
    <t>Classes</t>
  </si>
  <si>
    <t>DEPRECIATION</t>
  </si>
  <si>
    <t>Calculated</t>
  </si>
  <si>
    <t>Input from SAM</t>
  </si>
  <si>
    <t>End of analysis period value ($)</t>
  </si>
  <si>
    <t>Net salvage value (% of total installed cost)</t>
  </si>
  <si>
    <t>Total construction financing cost ($)</t>
  </si>
  <si>
    <t>Escalation (% above inflation)</t>
  </si>
  <si>
    <t>Utility</t>
  </si>
  <si>
    <t>Other</t>
  </si>
  <si>
    <t>For additional information on depreciation schedules, see IRS publication 946.</t>
  </si>
  <si>
    <t>Depreciation Percent (%)</t>
  </si>
  <si>
    <t>Replacement cost ($/W)</t>
  </si>
  <si>
    <t>Nameplate capacity (kW)</t>
  </si>
  <si>
    <t>Non-depreciable</t>
  </si>
  <si>
    <t>Total installed cost</t>
  </si>
  <si>
    <t>Construction financing</t>
  </si>
  <si>
    <t>METRICS</t>
  </si>
  <si>
    <t>PPA price escalation (%/yr)</t>
  </si>
  <si>
    <r>
      <t>PPA price, year 1 (</t>
    </r>
    <r>
      <rPr>
        <sz val="10"/>
        <color theme="1"/>
        <rFont val="Calibri"/>
        <family val="2"/>
      </rPr>
      <t>¢</t>
    </r>
    <r>
      <rPr>
        <sz val="9"/>
        <color theme="1"/>
        <rFont val="Calibri"/>
        <family val="2"/>
      </rPr>
      <t>/kWh)</t>
    </r>
  </si>
  <si>
    <t>NPV of annual generation (kWh)</t>
  </si>
  <si>
    <t>NPV of annual costs ($)</t>
  </si>
  <si>
    <t>Annual costs ($)</t>
  </si>
  <si>
    <t>Year target IRR reached</t>
  </si>
  <si>
    <t>Incentive Amounts</t>
  </si>
  <si>
    <t>Annual PPA revenues ($)</t>
  </si>
  <si>
    <t>NPV of annual PPA revenues ($)</t>
  </si>
  <si>
    <t>Escalation (%/year)</t>
  </si>
  <si>
    <t>Amount ($)</t>
  </si>
  <si>
    <t>Term (years)</t>
  </si>
  <si>
    <t>Allocations (%)</t>
  </si>
  <si>
    <t>CONSTRUCTION FINANCING CALCULATION (provided here for reference, only total financing cost above is input to cash flow)</t>
  </si>
  <si>
    <t>Annual usage (kWh)</t>
  </si>
  <si>
    <t>Cost ($/MMBtu)</t>
  </si>
  <si>
    <t>Escalation (%/year above inflation)</t>
  </si>
  <si>
    <t>Depreciation Schedules (Half Year)</t>
  </si>
  <si>
    <t>Operation and maintenance (O&amp;M)</t>
  </si>
  <si>
    <t>Fixed</t>
  </si>
  <si>
    <t>Capacity</t>
  </si>
  <si>
    <t>Variable</t>
  </si>
  <si>
    <t>Fuel (CSP and generic only)</t>
  </si>
  <si>
    <t>Biomass feedstock (Biopower only)</t>
  </si>
  <si>
    <t>Coal feedstock (Biopower only)</t>
  </si>
  <si>
    <t>Summary table</t>
  </si>
  <si>
    <t>PPA price ($/kWh)</t>
  </si>
  <si>
    <t>Federal taxable</t>
  </si>
  <si>
    <t>State taxable</t>
  </si>
  <si>
    <t>Red. fed. depr. &amp; ITC</t>
  </si>
  <si>
    <t>Red. st. depr. &amp; ITC</t>
  </si>
  <si>
    <t>Qual. for fed. ITC</t>
  </si>
  <si>
    <t>Qual. for state ITC</t>
  </si>
  <si>
    <t>Federal bonus</t>
  </si>
  <si>
    <t>State bonus</t>
  </si>
  <si>
    <t>Reduces depreciation basis</t>
  </si>
  <si>
    <t>Heat rate (MMBtu/MWh)</t>
  </si>
  <si>
    <t>Operating Expenses</t>
  </si>
  <si>
    <t>Cash Flows from Operating Activities</t>
  </si>
  <si>
    <r>
      <t>Levelized PPA price (</t>
    </r>
    <r>
      <rPr>
        <sz val="10"/>
        <color theme="1"/>
        <rFont val="Calibri"/>
        <family val="2"/>
      </rPr>
      <t>¢</t>
    </r>
    <r>
      <rPr>
        <sz val="10"/>
        <color theme="1"/>
        <rFont val="Calibri"/>
        <family val="2"/>
        <scheme val="minor"/>
      </rPr>
      <t>/kWh)</t>
    </r>
  </si>
  <si>
    <t>Levelized PPA price nominal  (¢/kWh)</t>
  </si>
  <si>
    <t>Value depends on option in SAM</t>
  </si>
  <si>
    <t>Ending balance</t>
  </si>
  <si>
    <t>Plus: Interest earned on reserve accounts</t>
  </si>
  <si>
    <t>ANNUAL VALUES</t>
  </si>
  <si>
    <t>Operation and maintenance costs specified as annual values</t>
  </si>
  <si>
    <t>Production Based Incentive (PBI) specified as annual values</t>
  </si>
  <si>
    <t>Production Tax Credit (PTC) specified as annual values</t>
  </si>
  <si>
    <t>Unadjusted PTC ($/kWh)</t>
  </si>
  <si>
    <t>Adjusted PTC ($/MWh)</t>
  </si>
  <si>
    <t>Income tax rates specified as annual values</t>
  </si>
  <si>
    <t>Working capital reserve</t>
  </si>
  <si>
    <t>Beginning balance</t>
  </si>
  <si>
    <t>Release of funds</t>
  </si>
  <si>
    <t>Major equipment replacement reserve 1</t>
  </si>
  <si>
    <t>Timing of funding</t>
  </si>
  <si>
    <t>Cost of each occurrence</t>
  </si>
  <si>
    <t>Funding of each occurence</t>
  </si>
  <si>
    <t>Major equipment replacement reserve 2</t>
  </si>
  <si>
    <t>Major equipment replacement reserve 3</t>
  </si>
  <si>
    <t>Receivables reserve</t>
  </si>
  <si>
    <t>Major equipment reserve 1</t>
  </si>
  <si>
    <t>Major equipment reserve 2</t>
  </si>
  <si>
    <t>Major equipment reserve 3</t>
  </si>
  <si>
    <t>Major equipment spending 1</t>
  </si>
  <si>
    <t>Major equipment spending 2</t>
  </si>
  <si>
    <t>Major equipment spending 3</t>
  </si>
  <si>
    <t>Battery replacement</t>
  </si>
  <si>
    <t>Annual values from SAM</t>
  </si>
  <si>
    <t>Purchase of electricity for battery charging and inverter nighttime consumption</t>
  </si>
  <si>
    <t>Electricity purchase</t>
  </si>
  <si>
    <t>Custom</t>
  </si>
  <si>
    <t>Depreciation</t>
  </si>
  <si>
    <t>Custom allocation (%/year)</t>
  </si>
  <si>
    <t>* Note custom schedule is defined on Inputs sheet around Row 180</t>
  </si>
  <si>
    <t>PPA price is modifed by TOD multipliers</t>
  </si>
  <si>
    <t>Solution Mode and PPA Price</t>
  </si>
  <si>
    <t>Salvage value</t>
  </si>
  <si>
    <t>Sale Leaseback</t>
  </si>
  <si>
    <t>Developer (lessee) operating margin ($/kW)</t>
  </si>
  <si>
    <t>Developer (lessee) margin escalation (%/year)</t>
  </si>
  <si>
    <t>Tax investor (lessor) required lease payment reserve (months)</t>
  </si>
  <si>
    <t>Equity closing cost ($)</t>
  </si>
  <si>
    <t>Other financing cost ($)</t>
  </si>
  <si>
    <t>Development fee (% of installed cost)</t>
  </si>
  <si>
    <t>Tax on development fee in Year 1</t>
  </si>
  <si>
    <t>Development fee ($)</t>
  </si>
  <si>
    <t>Federal income tax rate in Year 1 (%/year)</t>
  </si>
  <si>
    <t>State income tax rate in Year 1 (%/year)</t>
  </si>
  <si>
    <t>Sale Leaseback Inputs</t>
  </si>
  <si>
    <t>Sale Leaseback Cash Flow</t>
  </si>
  <si>
    <t>Annual developer (lessee) margin</t>
  </si>
  <si>
    <t>Operating Margin Not Including Lease Payment</t>
  </si>
  <si>
    <t>Cash Flow: Developer (Lessee)</t>
  </si>
  <si>
    <t>Operating margin not including lease payment</t>
  </si>
  <si>
    <t>Total sale of property</t>
  </si>
  <si>
    <t>Equity closing cost</t>
  </si>
  <si>
    <t>Other financing cost</t>
  </si>
  <si>
    <t>Lease payment reserve</t>
  </si>
  <si>
    <t>Developer (lessee) equity in Lessee LLC (funding of reserve accounts)</t>
  </si>
  <si>
    <t>Lease payment reserve funding</t>
  </si>
  <si>
    <t>Working capital reserve funding</t>
  </si>
  <si>
    <t>Pre-tax cashflow including release of reserves</t>
  </si>
  <si>
    <t>Adjustment for release of reserves</t>
  </si>
  <si>
    <t>Pre-tax operating cash flow (effective lease payment)</t>
  </si>
  <si>
    <t>Cash Flow from Operating Activities</t>
  </si>
  <si>
    <t>Cash Flow: Investor (Lessor)</t>
  </si>
  <si>
    <t>Lease payment</t>
  </si>
  <si>
    <t>Pre-tax salvage value</t>
  </si>
  <si>
    <t>Pre-tax cash flow</t>
  </si>
  <si>
    <t>Lease payments</t>
  </si>
  <si>
    <t>Pre-tax returns</t>
  </si>
  <si>
    <t>Taxes: Investor (Lessor)</t>
  </si>
  <si>
    <t>Plus: Pre-tax salvage value</t>
  </si>
  <si>
    <t>Taxes: Developer (Lessee)</t>
  </si>
  <si>
    <t>Total taxable income</t>
  </si>
  <si>
    <t>Taxable income prior to incentives</t>
  </si>
  <si>
    <t>Total taxable incentives</t>
  </si>
  <si>
    <t>Federal tax rate(%/year)</t>
  </si>
  <si>
    <t>Less: Tax depreciation</t>
  </si>
  <si>
    <t>State Tax benefit/(liability)</t>
  </si>
  <si>
    <t>Federal tax benefit/(liability)</t>
  </si>
  <si>
    <t>State Income Taxes, Investor</t>
  </si>
  <si>
    <t>Federal Income Taxes, Investor</t>
  </si>
  <si>
    <t>Party Returns: Investor (Lessor)</t>
  </si>
  <si>
    <t>Pre-tax Returns, Investor</t>
  </si>
  <si>
    <t>After-tax Returns, Investor</t>
  </si>
  <si>
    <t>Pre-tax Returns, Developer</t>
  </si>
  <si>
    <t>After-tax Returns, Developer</t>
  </si>
  <si>
    <t>State Income Taxes, Developer</t>
  </si>
  <si>
    <t>Federal Income Taxes, Developer</t>
  </si>
  <si>
    <t>PPA revenue</t>
  </si>
  <si>
    <t>Less: Lease payment</t>
  </si>
  <si>
    <t>State tax rate</t>
  </si>
  <si>
    <t>State tax benefit/(liability)</t>
  </si>
  <si>
    <t>Federal tax rate</t>
  </si>
  <si>
    <t>Party Returns: Developer (Lessee)</t>
  </si>
  <si>
    <t>Development fee</t>
  </si>
  <si>
    <t>Release of major equipment replacement reserves</t>
  </si>
  <si>
    <t>Release of working capital reserve</t>
  </si>
  <si>
    <t>Interest earned on lease payment reserve</t>
  </si>
  <si>
    <t>Release of lease payment reserve</t>
  </si>
  <si>
    <t>Developer operating margin</t>
  </si>
  <si>
    <t>State tax rate (%/year)</t>
  </si>
  <si>
    <t>Taxable income before incentives</t>
  </si>
  <si>
    <t>Cumulative developer after-tax IRR (%)</t>
  </si>
  <si>
    <t>Cumulative investor after-tax IRR (%)</t>
  </si>
  <si>
    <t>NPV of investor after-tax returns</t>
  </si>
  <si>
    <t>NPV of developer after-tax returns</t>
  </si>
  <si>
    <t>Investor IRR target year</t>
  </si>
  <si>
    <t>Investor IRR at end of project (%)</t>
  </si>
  <si>
    <t>Developer IRR at end of project</t>
  </si>
  <si>
    <t>Investor IRR in target year (%)</t>
  </si>
  <si>
    <t>Year investor IRR target achieved</t>
  </si>
  <si>
    <t>Investor IRR Target</t>
  </si>
  <si>
    <t>Total reserve account (increase)/decrease</t>
  </si>
  <si>
    <t xml:space="preserve">Reserve Accounts (increase)/decrease </t>
  </si>
  <si>
    <t>Total reserve capital spending</t>
  </si>
  <si>
    <t>Total ITC</t>
  </si>
  <si>
    <t>Total PTC</t>
  </si>
  <si>
    <t>Total tax benefit/(liability)</t>
  </si>
  <si>
    <t>Investment Tax Credit (ITC)</t>
  </si>
  <si>
    <t>Investment-based incentive (IBI)</t>
  </si>
  <si>
    <t>Capacity-based incentive (CBI)</t>
  </si>
  <si>
    <t>Total developer pre-tax returns</t>
  </si>
  <si>
    <t>Total developer after-tax returns</t>
  </si>
  <si>
    <t>Total CBI</t>
  </si>
  <si>
    <t>Purchase of Plant and Sale of Property</t>
  </si>
  <si>
    <t>Purchase of Plant</t>
  </si>
  <si>
    <t>Total purchase of plant</t>
  </si>
  <si>
    <t>Sale of Property</t>
  </si>
  <si>
    <t>Purchase of plant</t>
  </si>
  <si>
    <t>Sale of property</t>
  </si>
  <si>
    <t>Production-based incentive (PBI)</t>
  </si>
  <si>
    <t>Total IBI</t>
  </si>
  <si>
    <t>Investment-based incentives (IBI)</t>
  </si>
  <si>
    <t>Interest on reserves except lease payment</t>
  </si>
  <si>
    <t>Total reserves except lease payment</t>
  </si>
  <si>
    <t>Interest on Lease Payment Reserve</t>
  </si>
  <si>
    <t>Interest on Reserves Except Lease Payment</t>
  </si>
  <si>
    <t>Total lease payment reserves</t>
  </si>
  <si>
    <t>Interest on lease payment reserve</t>
  </si>
  <si>
    <t>Equipment Reserve Capital Spending</t>
  </si>
  <si>
    <t>Developer (lessee) equity in Lessee LLC (funding of reserves)</t>
  </si>
  <si>
    <t>Property tax</t>
  </si>
  <si>
    <t>Interest on reserves except lease payment reserve</t>
  </si>
  <si>
    <t>Operating expenses</t>
  </si>
  <si>
    <t>State tax benefit (liability)</t>
  </si>
  <si>
    <t>Federal tax benefit (liability)</t>
  </si>
  <si>
    <t>Tax on development fee</t>
  </si>
  <si>
    <t>Issuance of equity</t>
  </si>
  <si>
    <t>CBI</t>
  </si>
  <si>
    <t>IBI</t>
  </si>
  <si>
    <t>Total issuance of equity</t>
  </si>
  <si>
    <t>Investor NPV over project life ($)</t>
  </si>
  <si>
    <t>Developer NPV over project life($)</t>
  </si>
  <si>
    <t>Sale of property ($)</t>
  </si>
  <si>
    <t>LCOE, nominal  (¢/kWh)</t>
  </si>
  <si>
    <t>Energy</t>
  </si>
  <si>
    <t>Electricity to grid (kWh/year)</t>
  </si>
  <si>
    <t>Electricity from grid (kWh/year)</t>
  </si>
  <si>
    <t>Electricity to grid net (kWh/year)</t>
  </si>
  <si>
    <t>Electricity generated without storage (kWh/year)</t>
  </si>
  <si>
    <t>Battery annual energy discharged (kWh/year)</t>
  </si>
  <si>
    <t>Fuel cell annual energy discharged (kWh/year)</t>
  </si>
  <si>
    <t>Revenue</t>
  </si>
  <si>
    <t>PPA price by year ($/kWh)</t>
  </si>
  <si>
    <t>Gross PPA revenue</t>
  </si>
  <si>
    <t>Capacity payments</t>
  </si>
  <si>
    <t>Curtailment payments</t>
  </si>
  <si>
    <t>Electricity to grid (AC kWh)</t>
  </si>
  <si>
    <t>Electricity from grid (AC kWh)</t>
  </si>
  <si>
    <t>Electricity to grid net (AC kWh)</t>
  </si>
  <si>
    <t>Electricity generated without storage (AC kWh)</t>
  </si>
  <si>
    <t>Battery annual energy discharged (AC kWh)</t>
  </si>
  <si>
    <t>Fuel cell annual energy discharged (AC kWh)</t>
  </si>
  <si>
    <t>Other revenue</t>
  </si>
  <si>
    <r>
      <t>LCOE (</t>
    </r>
    <r>
      <rPr>
        <sz val="10"/>
        <color theme="1"/>
        <rFont val="Calibri"/>
        <family val="2"/>
      </rPr>
      <t>¢</t>
    </r>
    <r>
      <rPr>
        <sz val="10"/>
        <color theme="1"/>
        <rFont val="Calibri"/>
        <family val="2"/>
        <scheme val="minor"/>
      </rPr>
      <t>/kWh)</t>
    </r>
  </si>
  <si>
    <t>Levelized COE and PPA Price (Nominal)</t>
  </si>
  <si>
    <t>Annual electricity to grid (kWh)</t>
  </si>
  <si>
    <t>Operating expenses specific to battery systems</t>
  </si>
  <si>
    <t>Battery fixed</t>
  </si>
  <si>
    <t>Battery capacity-based</t>
  </si>
  <si>
    <t>Battery variable</t>
  </si>
  <si>
    <t>Operating expenses specific to fuel cell systems</t>
  </si>
  <si>
    <t>Fuel cell fixed</t>
  </si>
  <si>
    <t>Fuel cell capacity-based</t>
  </si>
  <si>
    <t>Fuel cell variable</t>
  </si>
  <si>
    <t>Fuel cell replacement</t>
  </si>
  <si>
    <t>Fuel cell fuel</t>
  </si>
  <si>
    <t>Fuel costs</t>
  </si>
  <si>
    <t>Fuel</t>
  </si>
  <si>
    <t>Biomass feedstock</t>
  </si>
  <si>
    <t>Biomass coal feedstock</t>
  </si>
  <si>
    <t>Geothermal recapitalization</t>
  </si>
  <si>
    <t>Recapitalization</t>
  </si>
  <si>
    <t>Estimates for levelized cost of storage (LCOS) calculations</t>
  </si>
  <si>
    <t>Storage costs ($)</t>
  </si>
  <si>
    <t>Storage discharge (kWh/year)</t>
  </si>
  <si>
    <t>Land lease</t>
  </si>
  <si>
    <t>Land lease payments ($)</t>
  </si>
  <si>
    <t>LAND LEASE</t>
  </si>
  <si>
    <t>Land area estimate (acres)</t>
  </si>
  <si>
    <t>Annual land lease cost ($/acre)</t>
  </si>
  <si>
    <t>Land lease escalation rate (% above inflation)</t>
  </si>
  <si>
    <t>FUEL COSTS (CSP AND GENERIC SYSTEMS ONLY)</t>
  </si>
  <si>
    <t>Expenses Specific to Battery Systems</t>
  </si>
  <si>
    <t>Expenses Specific to Fuel Cell Systems</t>
  </si>
  <si>
    <t>Land Lease</t>
  </si>
  <si>
    <t>Levelized Cost of Storage (Nominal)</t>
  </si>
  <si>
    <t>Annual storage costs ($)</t>
  </si>
  <si>
    <t>Annual storage energy discharge (kWh)</t>
  </si>
  <si>
    <t>NPV of annual storage costs ($)</t>
  </si>
  <si>
    <t>NPV of annual storage energy discharge (kWh)</t>
  </si>
  <si>
    <t>LCOS (¢/kWh)</t>
  </si>
  <si>
    <t>PPA revenue (TOD price multipliers may apply)</t>
  </si>
  <si>
    <t>Thermal revenue (fuel cell only)</t>
  </si>
  <si>
    <t>Production-based incentive (PBI) reduction if non-taxable</t>
  </si>
  <si>
    <t>Fixed cost by capacity ($/kW-yr)</t>
  </si>
  <si>
    <t>Investment Tax Credit (ITC) specified as annual values</t>
  </si>
  <si>
    <t>Federal ITC as fixed amount</t>
  </si>
  <si>
    <t>State ITC as fixed amount</t>
  </si>
  <si>
    <t>Federal ITC  percentage (%)</t>
  </si>
  <si>
    <t>Federal ITC as percentage maximum amount</t>
  </si>
  <si>
    <t>State ITC percentage (%)</t>
  </si>
  <si>
    <t>State ITC as percentage maximum amount</t>
  </si>
  <si>
    <t>ITC as fixed amount</t>
  </si>
  <si>
    <t>ITC  percentage (%)</t>
  </si>
  <si>
    <t>ITC as percentage maximum</t>
  </si>
  <si>
    <t>ITC as percentage amount</t>
  </si>
  <si>
    <t>ITC percentage (%)</t>
  </si>
  <si>
    <t>Depreciation and ITC Basis Calculations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</si>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</sst>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4" formatCode="_(&quot;$&quot;* #,##0.00_);_(&quot;$&quot;* \(#,##0.00\);_(&quot;$&quot;* &quot;-&quot;??_);_(@_)"/>
    <numFmt numFmtId="43" formatCode="_(* #,##0.00_);_(* \(#,##0.00\);_(* &quot;-&quot;??_);_(@_)"/>
    <numFmt numFmtId="164" formatCode="0_);[Red]\(0\)"/>
    <numFmt numFmtId="165" formatCode="_(* #,##0.000_);_(* \(#,##0.000\);_(* &quot;-&quot;??_);_(@_)"/>
    <numFmt numFmtId="166" formatCode="_(* #,##0.000_);_(* \(#,##0.000\);_(* &quot;-&quot;???_);_(@_)"/>
    <numFmt numFmtId="167" formatCode="0.0%"/>
    <numFmt numFmtId="168" formatCode="_(* #,##0.00_);_(* \(#,##0.00\);_(* &quot;-&quot;_);_(@_)"/>
    <numFmt numFmtId="169" formatCode="0.0"/>
    <numFmt numFmtId="170" formatCode="#,##0.0"/>
    <numFmt numFmtId="171" formatCode="0_);\(0\)"/>
    <numFmt numFmtId="172" formatCode="#,##0.000"/>
    <numFmt numFmtId="173" formatCode="0.000"/>
  </numFmts>
  <fonts count="15"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0000CC"/>
      <name val="Calibri"/>
      <family val="2"/>
      <scheme val="minor"/>
    </font>
    <font>
      <b/>
      <sz val="10"/>
      <color rgb="FFFF0000"/>
      <name val="Calibri"/>
      <family val="2"/>
      <scheme val="minor"/>
    </font>
    <font>
      <sz val="9"/>
      <color theme="1"/>
      <name val="Calibri"/>
      <family val="2"/>
      <scheme val="minor"/>
    </font>
    <font>
      <sz val="10"/>
      <color theme="1"/>
      <name val="Calibri"/>
      <family val="2"/>
    </font>
    <font>
      <sz val="11"/>
      <name val="Calibri"/>
      <family val="2"/>
      <scheme val="minor"/>
    </font>
    <font>
      <sz val="9"/>
      <color theme="1"/>
      <name val="Calibri"/>
      <family val="2"/>
    </font>
    <font>
      <sz val="10"/>
      <name val="Arial"/>
      <family val="2"/>
    </font>
    <font>
      <b/>
      <sz val="14"/>
      <color theme="0"/>
      <name val="Segoe UI"/>
      <family val="2"/>
    </font>
    <font>
      <b/>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55"/>
      </top>
      <bottom style="thin">
        <color indexed="55"/>
      </bottom>
      <diagonal/>
    </border>
    <border>
      <left style="thin">
        <color indexed="64"/>
      </left>
      <right style="thin">
        <color indexed="64"/>
      </right>
      <top style="thin">
        <color indexed="55"/>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2" fillId="0" borderId="0"/>
    <xf numFmtId="9" fontId="12" fillId="0" borderId="0" applyFont="0" applyFill="0" applyBorder="0" applyAlignment="0" applyProtection="0"/>
  </cellStyleXfs>
  <cellXfs count="365">
    <xf numFmtId="0" fontId="0" fillId="0" borderId="0" xfId="0"/>
    <xf numFmtId="0" fontId="3" fillId="0" borderId="0" xfId="0" applyFont="1"/>
    <xf numFmtId="0" fontId="3" fillId="0" borderId="5" xfId="0" applyFont="1" applyBorder="1" applyAlignment="1">
      <alignment horizontal="center"/>
    </xf>
    <xf numFmtId="0" fontId="2" fillId="0" borderId="3" xfId="0" applyFont="1" applyBorder="1" applyAlignment="1">
      <alignment horizontal="center"/>
    </xf>
    <xf numFmtId="0" fontId="4" fillId="0" borderId="0" xfId="0" applyFont="1"/>
    <xf numFmtId="0" fontId="5" fillId="2" borderId="16" xfId="0" applyFont="1" applyFill="1" applyBorder="1"/>
    <xf numFmtId="0" fontId="4" fillId="2" borderId="17" xfId="0" applyFont="1" applyFill="1" applyBorder="1"/>
    <xf numFmtId="0" fontId="4" fillId="2" borderId="18" xfId="0" applyFont="1" applyFill="1" applyBorder="1"/>
    <xf numFmtId="0" fontId="4" fillId="0" borderId="8" xfId="0" applyFont="1" applyBorder="1" applyAlignment="1">
      <alignment horizontal="center"/>
    </xf>
    <xf numFmtId="0" fontId="4" fillId="0" borderId="22" xfId="0" applyFont="1" applyBorder="1"/>
    <xf numFmtId="0" fontId="3" fillId="0" borderId="15" xfId="0" applyFont="1" applyBorder="1" applyAlignment="1">
      <alignment horizontal="center"/>
    </xf>
    <xf numFmtId="166" fontId="3" fillId="0" borderId="0" xfId="0" applyNumberFormat="1" applyFont="1"/>
    <xf numFmtId="43" fontId="3" fillId="0" borderId="0" xfId="0" applyNumberFormat="1" applyFont="1"/>
    <xf numFmtId="0" fontId="3" fillId="0" borderId="8" xfId="0" applyFont="1" applyBorder="1" applyAlignment="1">
      <alignment horizontal="center"/>
    </xf>
    <xf numFmtId="0" fontId="4" fillId="0" borderId="3" xfId="0" applyFont="1" applyBorder="1" applyAlignment="1">
      <alignment horizontal="center" wrapText="1"/>
    </xf>
    <xf numFmtId="41" fontId="4" fillId="0" borderId="0" xfId="0" applyNumberFormat="1" applyFont="1"/>
    <xf numFmtId="164" fontId="5" fillId="2" borderId="2" xfId="0" applyNumberFormat="1" applyFont="1" applyFill="1" applyBorder="1" applyAlignment="1">
      <alignment horizontal="center"/>
    </xf>
    <xf numFmtId="164" fontId="4" fillId="0" borderId="0" xfId="0" applyNumberFormat="1" applyFont="1" applyAlignment="1">
      <alignment horizontal="center"/>
    </xf>
    <xf numFmtId="0" fontId="4" fillId="0" borderId="0" xfId="0" applyFont="1" applyAlignment="1">
      <alignment horizontal="left"/>
    </xf>
    <xf numFmtId="10" fontId="4" fillId="0" borderId="0" xfId="1" applyNumberFormat="1" applyFont="1"/>
    <xf numFmtId="0" fontId="5" fillId="0" borderId="0" xfId="0" applyFont="1"/>
    <xf numFmtId="168" fontId="4" fillId="0" borderId="0" xfId="0" applyNumberFormat="1" applyFont="1"/>
    <xf numFmtId="0" fontId="4" fillId="0" borderId="0" xfId="0" applyFont="1" applyAlignment="1">
      <alignment horizontal="left" indent="2"/>
    </xf>
    <xf numFmtId="0" fontId="4" fillId="0" borderId="0" xfId="0" applyFont="1" applyAlignment="1">
      <alignment horizontal="left" indent="4"/>
    </xf>
    <xf numFmtId="0" fontId="4" fillId="0" borderId="4" xfId="0" applyFont="1" applyBorder="1" applyAlignment="1">
      <alignment horizontal="center" wrapText="1"/>
    </xf>
    <xf numFmtId="0" fontId="4" fillId="0" borderId="2" xfId="0" applyFont="1" applyBorder="1" applyAlignment="1">
      <alignment horizontal="center" wrapText="1"/>
    </xf>
    <xf numFmtId="167" fontId="4" fillId="0" borderId="0" xfId="1" applyNumberFormat="1" applyFont="1" applyBorder="1"/>
    <xf numFmtId="0" fontId="4" fillId="0" borderId="0" xfId="0" applyFont="1" applyAlignment="1">
      <alignment horizontal="right"/>
    </xf>
    <xf numFmtId="167" fontId="4" fillId="0" borderId="0" xfId="1" applyNumberFormat="1" applyFont="1"/>
    <xf numFmtId="0" fontId="5" fillId="0" borderId="16" xfId="0" applyFont="1" applyBorder="1"/>
    <xf numFmtId="0" fontId="4" fillId="0" borderId="18" xfId="0" applyFont="1" applyBorder="1"/>
    <xf numFmtId="0" fontId="4" fillId="0" borderId="17" xfId="0" applyFont="1" applyBorder="1"/>
    <xf numFmtId="41" fontId="3" fillId="0" borderId="0" xfId="0" applyNumberFormat="1" applyFont="1"/>
    <xf numFmtId="0" fontId="3" fillId="0" borderId="13" xfId="0" applyFont="1" applyBorder="1"/>
    <xf numFmtId="10" fontId="3" fillId="0" borderId="0" xfId="1" applyNumberFormat="1" applyFont="1" applyFill="1" applyBorder="1"/>
    <xf numFmtId="0" fontId="4" fillId="0" borderId="0" xfId="0" applyFont="1" applyAlignment="1">
      <alignment horizontal="center"/>
    </xf>
    <xf numFmtId="0" fontId="4" fillId="3" borderId="15" xfId="0" applyFont="1" applyFill="1" applyBorder="1"/>
    <xf numFmtId="0" fontId="4" fillId="0" borderId="15" xfId="0" applyFont="1" applyBorder="1"/>
    <xf numFmtId="0" fontId="4" fillId="0" borderId="15" xfId="0" applyFont="1" applyBorder="1" applyAlignment="1">
      <alignment horizontal="left" indent="1"/>
    </xf>
    <xf numFmtId="0" fontId="4" fillId="0" borderId="15" xfId="0" applyFont="1" applyBorder="1" applyAlignment="1">
      <alignment horizontal="left" indent="3"/>
    </xf>
    <xf numFmtId="0" fontId="4" fillId="0" borderId="16" xfId="0" applyFont="1" applyBorder="1" applyAlignment="1">
      <alignment horizontal="left" indent="1"/>
    </xf>
    <xf numFmtId="0" fontId="4" fillId="0" borderId="16" xfId="0" applyFont="1" applyBorder="1" applyAlignment="1">
      <alignment horizontal="right"/>
    </xf>
    <xf numFmtId="9" fontId="3" fillId="0" borderId="16" xfId="0" applyNumberFormat="1" applyFont="1" applyBorder="1"/>
    <xf numFmtId="9" fontId="4" fillId="0" borderId="17" xfId="1" applyFont="1" applyBorder="1"/>
    <xf numFmtId="43" fontId="4" fillId="3" borderId="17" xfId="3" applyFont="1" applyFill="1" applyBorder="1"/>
    <xf numFmtId="43" fontId="4" fillId="3" borderId="15" xfId="0" applyNumberFormat="1" applyFont="1" applyFill="1" applyBorder="1"/>
    <xf numFmtId="43" fontId="5" fillId="3" borderId="15" xfId="0" applyNumberFormat="1" applyFont="1" applyFill="1" applyBorder="1"/>
    <xf numFmtId="11" fontId="3" fillId="0" borderId="15" xfId="0" applyNumberFormat="1" applyFont="1" applyBorder="1"/>
    <xf numFmtId="0" fontId="4" fillId="0" borderId="15" xfId="0" applyFont="1" applyBorder="1" applyAlignment="1">
      <alignment horizontal="left" indent="2"/>
    </xf>
    <xf numFmtId="0" fontId="4" fillId="0" borderId="15" xfId="0" applyFont="1" applyBorder="1" applyAlignment="1">
      <alignment horizontal="left" indent="4"/>
    </xf>
    <xf numFmtId="0" fontId="4" fillId="0" borderId="14" xfId="0" applyFont="1" applyBorder="1" applyAlignment="1">
      <alignment horizontal="left" indent="1"/>
    </xf>
    <xf numFmtId="0" fontId="4" fillId="0" borderId="21" xfId="0" applyFont="1" applyBorder="1"/>
    <xf numFmtId="0" fontId="4" fillId="0" borderId="22" xfId="0" applyFont="1" applyBorder="1" applyAlignment="1">
      <alignment horizontal="center" wrapText="1"/>
    </xf>
    <xf numFmtId="0" fontId="3" fillId="0" borderId="14" xfId="0" applyFont="1" applyBorder="1"/>
    <xf numFmtId="0" fontId="3" fillId="0" borderId="14" xfId="0" applyFont="1" applyBorder="1" applyAlignment="1">
      <alignment horizontal="center"/>
    </xf>
    <xf numFmtId="0" fontId="3" fillId="0" borderId="17" xfId="0" applyFont="1" applyBorder="1"/>
    <xf numFmtId="0" fontId="3" fillId="0" borderId="22" xfId="0" applyFont="1" applyBorder="1" applyAlignment="1">
      <alignment horizontal="center"/>
    </xf>
    <xf numFmtId="0" fontId="3" fillId="0" borderId="16" xfId="0" applyFont="1" applyBorder="1"/>
    <xf numFmtId="0" fontId="3" fillId="0" borderId="7" xfId="0" applyFont="1" applyBorder="1" applyAlignment="1">
      <alignment horizontal="center"/>
    </xf>
    <xf numFmtId="0" fontId="3" fillId="0" borderId="21" xfId="0" applyFont="1" applyBorder="1" applyAlignment="1">
      <alignment horizontal="center"/>
    </xf>
    <xf numFmtId="0" fontId="4" fillId="0" borderId="19" xfId="0" applyFont="1" applyBorder="1"/>
    <xf numFmtId="0" fontId="4" fillId="0" borderId="22" xfId="0" applyFont="1" applyBorder="1" applyAlignment="1">
      <alignment horizontal="left" indent="1"/>
    </xf>
    <xf numFmtId="0" fontId="3" fillId="0" borderId="0" xfId="0" applyFont="1" applyAlignment="1">
      <alignment horizontal="center"/>
    </xf>
    <xf numFmtId="165" fontId="3" fillId="0" borderId="0" xfId="0" applyNumberFormat="1" applyFont="1"/>
    <xf numFmtId="0" fontId="3" fillId="0" borderId="15" xfId="0" applyFont="1" applyBorder="1"/>
    <xf numFmtId="0" fontId="3" fillId="0" borderId="23" xfId="0" applyFont="1" applyBorder="1" applyAlignment="1">
      <alignment horizontal="center"/>
    </xf>
    <xf numFmtId="0" fontId="3" fillId="0" borderId="17" xfId="0" applyFont="1" applyBorder="1" applyAlignment="1">
      <alignment horizontal="center"/>
    </xf>
    <xf numFmtId="0" fontId="4" fillId="0" borderId="15" xfId="0" applyFont="1" applyBorder="1" applyAlignment="1">
      <alignment horizontal="center"/>
    </xf>
    <xf numFmtId="0" fontId="3" fillId="0" borderId="16" xfId="0" applyFont="1" applyBorder="1" applyAlignment="1">
      <alignment horizontal="center"/>
    </xf>
    <xf numFmtId="0" fontId="6" fillId="0" borderId="0" xfId="0" applyFont="1" applyAlignment="1">
      <alignment horizontal="center"/>
    </xf>
    <xf numFmtId="0" fontId="3" fillId="0" borderId="18" xfId="0" applyFont="1" applyBorder="1"/>
    <xf numFmtId="0" fontId="3" fillId="0" borderId="18" xfId="0" applyFont="1" applyBorder="1" applyAlignment="1">
      <alignment horizontal="center"/>
    </xf>
    <xf numFmtId="0" fontId="7" fillId="0" borderId="0" xfId="0" applyFont="1"/>
    <xf numFmtId="43" fontId="4" fillId="0" borderId="0" xfId="0" applyNumberFormat="1" applyFont="1"/>
    <xf numFmtId="0" fontId="4" fillId="0" borderId="14" xfId="0" applyFont="1" applyBorder="1" applyAlignment="1">
      <alignment horizontal="center"/>
    </xf>
    <xf numFmtId="0" fontId="4" fillId="0" borderId="14" xfId="0" applyFont="1" applyBorder="1" applyAlignment="1">
      <alignment horizontal="left" indent="2"/>
    </xf>
    <xf numFmtId="0" fontId="4" fillId="0" borderId="22" xfId="0" applyFont="1" applyBorder="1" applyAlignment="1">
      <alignment horizontal="left" indent="4"/>
    </xf>
    <xf numFmtId="0" fontId="5" fillId="0" borderId="5" xfId="0" applyFont="1" applyBorder="1"/>
    <xf numFmtId="0" fontId="4" fillId="0" borderId="23" xfId="0" applyFont="1" applyBorder="1" applyAlignment="1">
      <alignment horizontal="left" indent="4"/>
    </xf>
    <xf numFmtId="0" fontId="5" fillId="0" borderId="14" xfId="0" applyFont="1" applyBorder="1"/>
    <xf numFmtId="0" fontId="4" fillId="0" borderId="23" xfId="0" applyFont="1" applyBorder="1" applyAlignment="1">
      <alignment horizontal="left" indent="2"/>
    </xf>
    <xf numFmtId="0" fontId="2" fillId="0" borderId="0" xfId="0" applyFont="1"/>
    <xf numFmtId="0" fontId="5" fillId="2" borderId="15" xfId="0" applyFont="1" applyFill="1" applyBorder="1"/>
    <xf numFmtId="10" fontId="4" fillId="0" borderId="0" xfId="0" applyNumberFormat="1" applyFont="1"/>
    <xf numFmtId="10" fontId="4" fillId="0" borderId="0" xfId="0" applyNumberFormat="1" applyFont="1" applyAlignment="1">
      <alignment horizontal="right"/>
    </xf>
    <xf numFmtId="0" fontId="4" fillId="0" borderId="3" xfId="0" applyFont="1" applyBorder="1" applyAlignment="1">
      <alignment horizontal="left"/>
    </xf>
    <xf numFmtId="0" fontId="4" fillId="0" borderId="3" xfId="0" applyFont="1" applyBorder="1" applyAlignment="1">
      <alignment horizontal="left" indent="1"/>
    </xf>
    <xf numFmtId="0" fontId="4" fillId="0" borderId="0" xfId="0" applyFont="1" applyAlignment="1">
      <alignment horizontal="left" indent="1"/>
    </xf>
    <xf numFmtId="0" fontId="4" fillId="0" borderId="0" xfId="0" applyFont="1" applyAlignment="1">
      <alignment horizontal="left" indent="3"/>
    </xf>
    <xf numFmtId="0" fontId="5" fillId="0" borderId="0" xfId="0" applyFont="1" applyAlignment="1">
      <alignment horizontal="center"/>
    </xf>
    <xf numFmtId="10" fontId="4" fillId="0" borderId="0" xfId="1" applyNumberFormat="1" applyFont="1" applyFill="1" applyBorder="1"/>
    <xf numFmtId="10" fontId="4" fillId="0" borderId="0" xfId="1" applyNumberFormat="1" applyFont="1" applyBorder="1"/>
    <xf numFmtId="0" fontId="10" fillId="0" borderId="0" xfId="0" applyFont="1"/>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2" fontId="3" fillId="0" borderId="15" xfId="1" applyNumberFormat="1" applyFont="1" applyFill="1" applyBorder="1"/>
    <xf numFmtId="4" fontId="3" fillId="0" borderId="0" xfId="3" applyNumberFormat="1" applyFont="1" applyFill="1" applyBorder="1"/>
    <xf numFmtId="4" fontId="4" fillId="2" borderId="17" xfId="3" applyNumberFormat="1" applyFont="1" applyFill="1" applyBorder="1"/>
    <xf numFmtId="4" fontId="3" fillId="0" borderId="15" xfId="3" applyNumberFormat="1" applyFont="1" applyFill="1" applyBorder="1"/>
    <xf numFmtId="4" fontId="4" fillId="0" borderId="0" xfId="3" applyNumberFormat="1" applyFont="1"/>
    <xf numFmtId="4" fontId="3" fillId="0" borderId="3" xfId="0" applyNumberFormat="1" applyFont="1" applyBorder="1"/>
    <xf numFmtId="4" fontId="3" fillId="0" borderId="3" xfId="1" applyNumberFormat="1" applyFont="1" applyBorder="1"/>
    <xf numFmtId="2" fontId="4" fillId="0" borderId="0" xfId="0" applyNumberFormat="1" applyFont="1"/>
    <xf numFmtId="4" fontId="2" fillId="2" borderId="17" xfId="0" applyNumberFormat="1" applyFont="1" applyFill="1" applyBorder="1"/>
    <xf numFmtId="4" fontId="3" fillId="0" borderId="15" xfId="0" applyNumberFormat="1" applyFont="1" applyBorder="1"/>
    <xf numFmtId="4" fontId="4" fillId="0" borderId="15" xfId="0" applyNumberFormat="1" applyFont="1" applyBorder="1"/>
    <xf numFmtId="4" fontId="4" fillId="2" borderId="17" xfId="0" applyNumberFormat="1" applyFont="1" applyFill="1" applyBorder="1"/>
    <xf numFmtId="4" fontId="4" fillId="0" borderId="0" xfId="0" applyNumberFormat="1" applyFont="1"/>
    <xf numFmtId="4" fontId="3" fillId="0" borderId="0" xfId="1" applyNumberFormat="1" applyFont="1" applyBorder="1"/>
    <xf numFmtId="4" fontId="3" fillId="0" borderId="15" xfId="1" applyNumberFormat="1" applyFont="1" applyBorder="1"/>
    <xf numFmtId="4" fontId="4" fillId="0" borderId="17" xfId="0" applyNumberFormat="1" applyFont="1" applyBorder="1"/>
    <xf numFmtId="4" fontId="3" fillId="0" borderId="17" xfId="0" applyNumberFormat="1" applyFont="1" applyBorder="1"/>
    <xf numFmtId="4" fontId="4" fillId="0" borderId="15" xfId="1" applyNumberFormat="1" applyFont="1" applyFill="1" applyBorder="1"/>
    <xf numFmtId="4" fontId="3" fillId="3" borderId="15" xfId="1" applyNumberFormat="1" applyFont="1" applyFill="1" applyBorder="1"/>
    <xf numFmtId="4" fontId="3" fillId="0" borderId="15" xfId="1" applyNumberFormat="1" applyFont="1" applyFill="1" applyBorder="1"/>
    <xf numFmtId="4" fontId="4" fillId="0" borderId="15" xfId="1" applyNumberFormat="1" applyFont="1" applyBorder="1"/>
    <xf numFmtId="4" fontId="3" fillId="0" borderId="0" xfId="0" applyNumberFormat="1" applyFont="1"/>
    <xf numFmtId="2" fontId="3" fillId="0" borderId="7" xfId="1" applyNumberFormat="1" applyFont="1" applyFill="1" applyBorder="1"/>
    <xf numFmtId="3" fontId="4" fillId="0" borderId="0" xfId="0" applyNumberFormat="1" applyFont="1"/>
    <xf numFmtId="3" fontId="4" fillId="0" borderId="1" xfId="0" applyNumberFormat="1" applyFont="1" applyBorder="1"/>
    <xf numFmtId="3" fontId="4" fillId="0" borderId="13" xfId="0" applyNumberFormat="1" applyFont="1" applyBorder="1"/>
    <xf numFmtId="3" fontId="4" fillId="0" borderId="19" xfId="0" applyNumberFormat="1" applyFont="1" applyBorder="1"/>
    <xf numFmtId="3" fontId="4" fillId="0" borderId="5" xfId="0" applyNumberFormat="1" applyFont="1" applyBorder="1"/>
    <xf numFmtId="3" fontId="4" fillId="0" borderId="14" xfId="0" applyNumberFormat="1" applyFont="1" applyBorder="1"/>
    <xf numFmtId="3" fontId="4" fillId="0" borderId="20" xfId="0" applyNumberFormat="1" applyFont="1" applyBorder="1"/>
    <xf numFmtId="3" fontId="4" fillId="0" borderId="21" xfId="0" applyNumberFormat="1" applyFont="1" applyBorder="1"/>
    <xf numFmtId="3" fontId="4" fillId="0" borderId="22" xfId="0" applyNumberFormat="1" applyFont="1" applyBorder="1"/>
    <xf numFmtId="3" fontId="4" fillId="0" borderId="6" xfId="0" applyNumberFormat="1" applyFont="1" applyBorder="1"/>
    <xf numFmtId="1" fontId="4" fillId="0" borderId="20" xfId="1" applyNumberFormat="1" applyFont="1" applyFill="1" applyBorder="1"/>
    <xf numFmtId="1" fontId="4" fillId="0" borderId="0" xfId="1" applyNumberFormat="1" applyFont="1" applyFill="1" applyBorder="1"/>
    <xf numFmtId="1" fontId="4" fillId="0" borderId="18" xfId="1" applyNumberFormat="1" applyFont="1" applyFill="1" applyBorder="1"/>
    <xf numFmtId="170" fontId="4" fillId="0" borderId="20" xfId="1" applyNumberFormat="1" applyFont="1" applyFill="1" applyBorder="1"/>
    <xf numFmtId="170" fontId="4" fillId="0" borderId="0" xfId="1" applyNumberFormat="1" applyFont="1" applyFill="1" applyBorder="1"/>
    <xf numFmtId="3" fontId="4" fillId="0" borderId="8" xfId="0" applyNumberFormat="1" applyFont="1" applyBorder="1"/>
    <xf numFmtId="3" fontId="4" fillId="0" borderId="16" xfId="0" applyNumberFormat="1" applyFont="1" applyBorder="1"/>
    <xf numFmtId="170" fontId="4" fillId="0" borderId="18" xfId="1" applyNumberFormat="1" applyFont="1" applyFill="1" applyBorder="1"/>
    <xf numFmtId="3" fontId="4" fillId="0" borderId="18" xfId="0" applyNumberFormat="1" applyFont="1" applyBorder="1"/>
    <xf numFmtId="3" fontId="4" fillId="0" borderId="17" xfId="0" applyNumberFormat="1" applyFont="1" applyBorder="1"/>
    <xf numFmtId="0" fontId="8" fillId="0" borderId="18" xfId="0" applyFont="1" applyBorder="1" applyAlignment="1">
      <alignment horizontal="center" wrapText="1"/>
    </xf>
    <xf numFmtId="0" fontId="8" fillId="0" borderId="3" xfId="0" applyFont="1" applyBorder="1" applyAlignment="1">
      <alignment horizontal="center" wrapText="1"/>
    </xf>
    <xf numFmtId="4" fontId="3" fillId="0" borderId="16" xfId="0" applyNumberFormat="1" applyFont="1" applyBorder="1"/>
    <xf numFmtId="1" fontId="3" fillId="0" borderId="16" xfId="0" applyNumberFormat="1" applyFont="1" applyBorder="1"/>
    <xf numFmtId="37" fontId="3" fillId="0" borderId="16" xfId="0" applyNumberFormat="1" applyFont="1" applyBorder="1"/>
    <xf numFmtId="37" fontId="3" fillId="0" borderId="19" xfId="0" applyNumberFormat="1" applyFont="1" applyBorder="1"/>
    <xf numFmtId="2" fontId="3" fillId="0" borderId="23" xfId="1" applyNumberFormat="1" applyFont="1" applyFill="1" applyBorder="1"/>
    <xf numFmtId="4" fontId="3" fillId="0" borderId="23" xfId="0" applyNumberFormat="1" applyFont="1" applyBorder="1"/>
    <xf numFmtId="1" fontId="3" fillId="0" borderId="15" xfId="0" applyNumberFormat="1" applyFont="1" applyBorder="1"/>
    <xf numFmtId="3" fontId="4" fillId="0" borderId="2" xfId="0" applyNumberFormat="1" applyFont="1" applyBorder="1"/>
    <xf numFmtId="3" fontId="4" fillId="0" borderId="3" xfId="0" applyNumberFormat="1" applyFont="1" applyBorder="1"/>
    <xf numFmtId="2" fontId="3" fillId="3" borderId="16" xfId="1" applyNumberFormat="1" applyFont="1" applyFill="1" applyBorder="1"/>
    <xf numFmtId="2" fontId="4" fillId="0" borderId="1" xfId="0" applyNumberFormat="1" applyFont="1" applyBorder="1"/>
    <xf numFmtId="1" fontId="4" fillId="0" borderId="0" xfId="0" applyNumberFormat="1" applyFont="1"/>
    <xf numFmtId="170" fontId="4" fillId="0" borderId="0" xfId="0" applyNumberFormat="1" applyFont="1"/>
    <xf numFmtId="3" fontId="4" fillId="0" borderId="9" xfId="0" applyNumberFormat="1" applyFont="1" applyBorder="1"/>
    <xf numFmtId="1" fontId="4" fillId="0" borderId="3" xfId="0" applyNumberFormat="1" applyFont="1" applyBorder="1"/>
    <xf numFmtId="1" fontId="4" fillId="0" borderId="15" xfId="0" applyNumberFormat="1" applyFont="1" applyBorder="1"/>
    <xf numFmtId="3" fontId="3" fillId="0" borderId="0" xfId="0" applyNumberFormat="1" applyFont="1"/>
    <xf numFmtId="0" fontId="4" fillId="0" borderId="5" xfId="0" applyFont="1" applyBorder="1"/>
    <xf numFmtId="37" fontId="4" fillId="0" borderId="0" xfId="0" applyNumberFormat="1" applyFont="1"/>
    <xf numFmtId="37" fontId="4" fillId="0" borderId="1" xfId="0" applyNumberFormat="1" applyFont="1" applyBorder="1"/>
    <xf numFmtId="37" fontId="4" fillId="0" borderId="2" xfId="0" applyNumberFormat="1" applyFont="1" applyBorder="1"/>
    <xf numFmtId="2" fontId="3" fillId="0" borderId="10" xfId="0" applyNumberFormat="1" applyFont="1" applyBorder="1"/>
    <xf numFmtId="2" fontId="3" fillId="0" borderId="11" xfId="0" applyNumberFormat="1" applyFont="1" applyBorder="1" applyAlignment="1">
      <alignment horizontal="right"/>
    </xf>
    <xf numFmtId="2" fontId="3" fillId="0" borderId="11" xfId="0" applyNumberFormat="1" applyFont="1" applyBorder="1"/>
    <xf numFmtId="2" fontId="3" fillId="0" borderId="12" xfId="0" applyNumberFormat="1" applyFont="1" applyBorder="1"/>
    <xf numFmtId="169" fontId="4" fillId="0" borderId="10" xfId="0" applyNumberFormat="1" applyFont="1" applyBorder="1"/>
    <xf numFmtId="169" fontId="4" fillId="0" borderId="0" xfId="1" applyNumberFormat="1" applyFont="1" applyBorder="1"/>
    <xf numFmtId="2" fontId="3" fillId="0" borderId="10" xfId="2" applyNumberFormat="1" applyFont="1" applyFill="1" applyBorder="1"/>
    <xf numFmtId="2" fontId="3" fillId="0" borderId="11" xfId="2" applyNumberFormat="1" applyFont="1" applyFill="1" applyBorder="1"/>
    <xf numFmtId="169" fontId="4" fillId="0" borderId="15" xfId="0" applyNumberFormat="1" applyFont="1" applyBorder="1"/>
    <xf numFmtId="3" fontId="4" fillId="0" borderId="10" xfId="3" applyNumberFormat="1" applyFont="1" applyBorder="1"/>
    <xf numFmtId="3" fontId="4" fillId="0" borderId="13" xfId="3" applyNumberFormat="1" applyFont="1" applyBorder="1"/>
    <xf numFmtId="3" fontId="4" fillId="0" borderId="20" xfId="3" applyNumberFormat="1" applyFont="1" applyBorder="1"/>
    <xf numFmtId="169" fontId="4" fillId="0" borderId="0" xfId="1" applyNumberFormat="1" applyFont="1"/>
    <xf numFmtId="171" fontId="4" fillId="0" borderId="0" xfId="0" applyNumberFormat="1" applyFont="1"/>
    <xf numFmtId="37" fontId="4" fillId="0" borderId="3" xfId="0" applyNumberFormat="1" applyFont="1" applyBorder="1"/>
    <xf numFmtId="37" fontId="4" fillId="0" borderId="8" xfId="0" applyNumberFormat="1" applyFont="1" applyBorder="1"/>
    <xf numFmtId="37" fontId="4" fillId="0" borderId="5" xfId="0" applyNumberFormat="1" applyFont="1" applyBorder="1"/>
    <xf numFmtId="3" fontId="4" fillId="0" borderId="10" xfId="0" applyNumberFormat="1" applyFont="1" applyBorder="1"/>
    <xf numFmtId="3" fontId="4" fillId="0" borderId="15" xfId="0" applyNumberFormat="1" applyFont="1" applyBorder="1"/>
    <xf numFmtId="37" fontId="4" fillId="0" borderId="15" xfId="0" applyNumberFormat="1" applyFont="1" applyBorder="1"/>
    <xf numFmtId="3" fontId="3" fillId="0" borderId="15" xfId="0" applyNumberFormat="1" applyFont="1" applyBorder="1"/>
    <xf numFmtId="43" fontId="4" fillId="0" borderId="5" xfId="0" applyNumberFormat="1" applyFont="1" applyBorder="1"/>
    <xf numFmtId="3" fontId="4" fillId="0" borderId="0" xfId="0" applyNumberFormat="1" applyFont="1" applyAlignment="1">
      <alignment horizontal="center"/>
    </xf>
    <xf numFmtId="170" fontId="3" fillId="0" borderId="0" xfId="0" applyNumberFormat="1" applyFont="1"/>
    <xf numFmtId="3" fontId="4" fillId="0" borderId="0" xfId="0" applyNumberFormat="1" applyFont="1" applyAlignment="1">
      <alignment horizontal="right"/>
    </xf>
    <xf numFmtId="170" fontId="4" fillId="0" borderId="0" xfId="0" applyNumberFormat="1" applyFont="1" applyAlignment="1">
      <alignment horizontal="right"/>
    </xf>
    <xf numFmtId="3" fontId="4" fillId="0" borderId="0" xfId="0" quotePrefix="1" applyNumberFormat="1" applyFont="1"/>
    <xf numFmtId="2" fontId="3" fillId="0" borderId="15" xfId="0" applyNumberFormat="1" applyFont="1" applyBorder="1"/>
    <xf numFmtId="2" fontId="3" fillId="0" borderId="22" xfId="0" applyNumberFormat="1" applyFont="1" applyBorder="1"/>
    <xf numFmtId="2" fontId="4" fillId="0" borderId="15" xfId="0" applyNumberFormat="1" applyFont="1" applyBorder="1"/>
    <xf numFmtId="2" fontId="4" fillId="0" borderId="22" xfId="0" applyNumberFormat="1" applyFont="1" applyBorder="1"/>
    <xf numFmtId="1" fontId="4" fillId="0" borderId="22" xfId="0" applyNumberFormat="1" applyFont="1" applyBorder="1"/>
    <xf numFmtId="2" fontId="4" fillId="0" borderId="15" xfId="1" applyNumberFormat="1" applyFont="1" applyBorder="1"/>
    <xf numFmtId="2" fontId="4" fillId="0" borderId="22" xfId="1" applyNumberFormat="1" applyFont="1" applyBorder="1"/>
    <xf numFmtId="0" fontId="4" fillId="0" borderId="20" xfId="0" applyFont="1" applyBorder="1"/>
    <xf numFmtId="2" fontId="4" fillId="0" borderId="15" xfId="1" applyNumberFormat="1" applyFont="1" applyFill="1" applyBorder="1" applyAlignment="1">
      <alignment horizontal="right"/>
    </xf>
    <xf numFmtId="3" fontId="4" fillId="0" borderId="0" xfId="0" applyNumberFormat="1" applyFont="1" applyAlignment="1">
      <alignment horizontal="left"/>
    </xf>
    <xf numFmtId="0" fontId="3" fillId="0" borderId="0" xfId="0" applyFont="1" applyAlignment="1">
      <alignment horizontal="right"/>
    </xf>
    <xf numFmtId="3" fontId="5" fillId="2" borderId="15" xfId="0" applyNumberFormat="1" applyFont="1" applyFill="1" applyBorder="1" applyAlignment="1">
      <alignment horizontal="left"/>
    </xf>
    <xf numFmtId="3" fontId="5" fillId="2" borderId="15" xfId="0" quotePrefix="1" applyNumberFormat="1" applyFont="1" applyFill="1" applyBorder="1" applyAlignment="1">
      <alignment horizontal="center"/>
    </xf>
    <xf numFmtId="3" fontId="4" fillId="0" borderId="15" xfId="0" applyNumberFormat="1" applyFont="1" applyBorder="1" applyAlignment="1">
      <alignment horizontal="left"/>
    </xf>
    <xf numFmtId="172" fontId="4" fillId="0" borderId="0" xfId="0" applyNumberFormat="1" applyFont="1"/>
    <xf numFmtId="4" fontId="3" fillId="5" borderId="15" xfId="0" applyNumberFormat="1" applyFont="1" applyFill="1" applyBorder="1"/>
    <xf numFmtId="0" fontId="4" fillId="0" borderId="18" xfId="0" applyFont="1" applyBorder="1" applyAlignment="1">
      <alignment horizontal="left"/>
    </xf>
    <xf numFmtId="0" fontId="5" fillId="0" borderId="18" xfId="0" applyFont="1" applyBorder="1"/>
    <xf numFmtId="4" fontId="4" fillId="0" borderId="3" xfId="0" applyNumberFormat="1" applyFont="1" applyBorder="1"/>
    <xf numFmtId="2" fontId="4" fillId="0" borderId="5" xfId="1" applyNumberFormat="1" applyFont="1" applyFill="1" applyBorder="1"/>
    <xf numFmtId="2" fontId="4" fillId="0" borderId="8" xfId="1" applyNumberFormat="1" applyFont="1" applyFill="1" applyBorder="1"/>
    <xf numFmtId="4" fontId="4" fillId="0" borderId="5" xfId="1" applyNumberFormat="1" applyFont="1" applyFill="1" applyBorder="1"/>
    <xf numFmtId="4" fontId="4" fillId="0" borderId="8" xfId="1" applyNumberFormat="1" applyFont="1" applyFill="1" applyBorder="1"/>
    <xf numFmtId="10" fontId="4" fillId="2" borderId="18" xfId="1" applyNumberFormat="1" applyFont="1" applyFill="1" applyBorder="1"/>
    <xf numFmtId="41" fontId="4" fillId="2" borderId="18" xfId="0" applyNumberFormat="1" applyFont="1" applyFill="1" applyBorder="1"/>
    <xf numFmtId="0" fontId="4" fillId="0" borderId="15" xfId="0" applyFont="1" applyBorder="1" applyAlignment="1">
      <alignment horizontal="center" wrapText="1"/>
    </xf>
    <xf numFmtId="41" fontId="3" fillId="0" borderId="15" xfId="0" applyNumberFormat="1" applyFont="1" applyBorder="1" applyAlignment="1">
      <alignment horizontal="center" wrapText="1"/>
    </xf>
    <xf numFmtId="0" fontId="13" fillId="6" borderId="26" xfId="4" applyFont="1" applyFill="1" applyBorder="1" applyAlignment="1">
      <alignment horizontal="center"/>
    </xf>
    <xf numFmtId="0" fontId="5" fillId="2" borderId="19" xfId="0" applyFont="1" applyFill="1" applyBorder="1"/>
    <xf numFmtId="4" fontId="4" fillId="2" borderId="21" xfId="0" applyNumberFormat="1" applyFont="1" applyFill="1" applyBorder="1"/>
    <xf numFmtId="0" fontId="3" fillId="4" borderId="22" xfId="0" applyFont="1" applyFill="1" applyBorder="1"/>
    <xf numFmtId="0" fontId="13" fillId="6" borderId="26" xfId="4" applyFont="1" applyFill="1" applyBorder="1" applyAlignment="1">
      <alignment horizontal="left"/>
    </xf>
    <xf numFmtId="0" fontId="3" fillId="6" borderId="2" xfId="0" applyFont="1" applyFill="1" applyBorder="1" applyAlignment="1">
      <alignment horizontal="left"/>
    </xf>
    <xf numFmtId="41" fontId="3" fillId="6" borderId="2" xfId="2" applyNumberFormat="1" applyFont="1" applyFill="1" applyBorder="1" applyAlignment="1">
      <alignment horizontal="left"/>
    </xf>
    <xf numFmtId="0" fontId="5" fillId="0" borderId="8" xfId="0" applyFont="1" applyBorder="1"/>
    <xf numFmtId="4" fontId="3" fillId="0" borderId="7" xfId="0" applyNumberFormat="1" applyFont="1" applyBorder="1"/>
    <xf numFmtId="0" fontId="3" fillId="0" borderId="16" xfId="0" applyFont="1" applyBorder="1" applyAlignment="1">
      <alignment horizontal="right"/>
    </xf>
    <xf numFmtId="0" fontId="4" fillId="0" borderId="16" xfId="0" applyFont="1" applyBorder="1" applyAlignment="1">
      <alignment horizontal="center" wrapText="1"/>
    </xf>
    <xf numFmtId="41" fontId="3" fillId="0" borderId="16" xfId="0" applyNumberFormat="1" applyFont="1" applyBorder="1"/>
    <xf numFmtId="0" fontId="4" fillId="0" borderId="8" xfId="0" applyFont="1" applyBorder="1"/>
    <xf numFmtId="0" fontId="4" fillId="0" borderId="7" xfId="0" applyFont="1" applyBorder="1"/>
    <xf numFmtId="0" fontId="4" fillId="0" borderId="13" xfId="0" applyFont="1" applyBorder="1" applyAlignment="1">
      <alignment horizontal="center"/>
    </xf>
    <xf numFmtId="0" fontId="4" fillId="0" borderId="13" xfId="0" applyFont="1" applyBorder="1"/>
    <xf numFmtId="0" fontId="4" fillId="2" borderId="20" xfId="0" applyFont="1" applyFill="1" applyBorder="1"/>
    <xf numFmtId="0" fontId="4" fillId="2" borderId="21" xfId="0" applyFont="1" applyFill="1" applyBorder="1"/>
    <xf numFmtId="0" fontId="3" fillId="0" borderId="8" xfId="0" applyFont="1" applyBorder="1"/>
    <xf numFmtId="0" fontId="3" fillId="0" borderId="1" xfId="0" applyFont="1" applyBorder="1"/>
    <xf numFmtId="0" fontId="3" fillId="0" borderId="7" xfId="0" applyFont="1" applyBorder="1"/>
    <xf numFmtId="0" fontId="3" fillId="0" borderId="29" xfId="0" applyFont="1" applyBorder="1" applyAlignment="1">
      <alignment horizontal="center"/>
    </xf>
    <xf numFmtId="11" fontId="3" fillId="0" borderId="23" xfId="0" applyNumberFormat="1" applyFont="1" applyBorder="1"/>
    <xf numFmtId="4" fontId="3" fillId="7" borderId="15" xfId="0" applyNumberFormat="1" applyFont="1" applyFill="1" applyBorder="1"/>
    <xf numFmtId="0" fontId="4" fillId="7" borderId="27" xfId="0" applyFont="1" applyFill="1" applyBorder="1" applyAlignment="1">
      <alignment horizontal="left" indent="1"/>
    </xf>
    <xf numFmtId="4" fontId="3" fillId="7" borderId="28" xfId="0" applyNumberFormat="1" applyFont="1" applyFill="1" applyBorder="1"/>
    <xf numFmtId="0" fontId="4" fillId="7" borderId="24" xfId="0" applyFont="1" applyFill="1" applyBorder="1" applyAlignment="1">
      <alignment horizontal="left" indent="1"/>
    </xf>
    <xf numFmtId="4" fontId="3" fillId="3" borderId="15" xfId="0" applyNumberFormat="1" applyFont="1" applyFill="1" applyBorder="1"/>
    <xf numFmtId="0" fontId="3" fillId="0" borderId="2" xfId="0" applyFont="1" applyBorder="1" applyAlignment="1">
      <alignment horizontal="left"/>
    </xf>
    <xf numFmtId="0" fontId="3" fillId="0" borderId="0" xfId="0" applyFont="1" applyAlignment="1">
      <alignment horizontal="left"/>
    </xf>
    <xf numFmtId="0" fontId="2" fillId="0" borderId="15" xfId="0" applyFont="1" applyBorder="1" applyAlignment="1">
      <alignment horizontal="center"/>
    </xf>
    <xf numFmtId="0" fontId="13" fillId="0" borderId="0" xfId="4" applyFont="1" applyAlignment="1">
      <alignment horizontal="center"/>
    </xf>
    <xf numFmtId="0" fontId="13" fillId="6" borderId="30" xfId="4" applyFont="1" applyFill="1" applyBorder="1" applyAlignment="1">
      <alignment horizontal="center"/>
    </xf>
    <xf numFmtId="0" fontId="4" fillId="4" borderId="15" xfId="0" applyFont="1" applyFill="1" applyBorder="1"/>
    <xf numFmtId="0" fontId="4" fillId="5" borderId="15" xfId="0" applyFont="1" applyFill="1" applyBorder="1"/>
    <xf numFmtId="3" fontId="5" fillId="0" borderId="16" xfId="0" applyNumberFormat="1" applyFont="1" applyBorder="1"/>
    <xf numFmtId="0" fontId="4" fillId="4" borderId="14" xfId="0" applyFont="1" applyFill="1" applyBorder="1"/>
    <xf numFmtId="0" fontId="4" fillId="5" borderId="14" xfId="0" applyFont="1" applyFill="1" applyBorder="1"/>
    <xf numFmtId="0" fontId="4" fillId="4" borderId="18" xfId="0" applyFont="1" applyFill="1" applyBorder="1"/>
    <xf numFmtId="0" fontId="4" fillId="4" borderId="17" xfId="0" applyFont="1" applyFill="1" applyBorder="1"/>
    <xf numFmtId="0" fontId="4" fillId="0" borderId="22" xfId="0" applyFont="1" applyBorder="1" applyAlignment="1">
      <alignment horizontal="left" indent="2"/>
    </xf>
    <xf numFmtId="0" fontId="4" fillId="4" borderId="22" xfId="0" applyFont="1" applyFill="1" applyBorder="1"/>
    <xf numFmtId="0" fontId="4" fillId="5" borderId="22" xfId="0" applyFont="1" applyFill="1" applyBorder="1"/>
    <xf numFmtId="2" fontId="3" fillId="0" borderId="16" xfId="1" applyNumberFormat="1" applyFont="1" applyFill="1" applyBorder="1"/>
    <xf numFmtId="0" fontId="3" fillId="0" borderId="14" xfId="0" applyFont="1" applyBorder="1" applyAlignment="1">
      <alignment horizontal="center" wrapText="1"/>
    </xf>
    <xf numFmtId="0" fontId="3" fillId="0" borderId="8" xfId="0" applyFont="1" applyBorder="1" applyAlignment="1">
      <alignment horizontal="center" wrapText="1"/>
    </xf>
    <xf numFmtId="2" fontId="3" fillId="0" borderId="23" xfId="1" applyNumberFormat="1" applyFont="1" applyBorder="1"/>
    <xf numFmtId="0" fontId="2" fillId="0" borderId="16" xfId="0" applyFont="1" applyBorder="1" applyAlignment="1">
      <alignment horizontal="left"/>
    </xf>
    <xf numFmtId="0" fontId="3" fillId="0" borderId="15" xfId="0" applyFont="1" applyBorder="1" applyAlignment="1">
      <alignment horizontal="left" indent="1"/>
    </xf>
    <xf numFmtId="4" fontId="3" fillId="0" borderId="21" xfId="0" applyNumberFormat="1" applyFont="1" applyBorder="1"/>
    <xf numFmtId="0" fontId="3" fillId="0" borderId="16" xfId="0" applyFont="1" applyBorder="1" applyAlignment="1">
      <alignment horizontal="left" indent="1"/>
    </xf>
    <xf numFmtId="0" fontId="3" fillId="4" borderId="15" xfId="4" applyFont="1" applyFill="1" applyBorder="1" applyAlignment="1">
      <alignment horizontal="right"/>
    </xf>
    <xf numFmtId="2" fontId="4" fillId="0" borderId="0" xfId="1" applyNumberFormat="1" applyFont="1" applyFill="1" applyBorder="1"/>
    <xf numFmtId="3" fontId="4" fillId="0" borderId="7" xfId="0" applyNumberFormat="1" applyFont="1" applyBorder="1"/>
    <xf numFmtId="3" fontId="4" fillId="0" borderId="15" xfId="3" applyNumberFormat="1" applyFont="1" applyBorder="1"/>
    <xf numFmtId="0" fontId="14" fillId="0" borderId="0" xfId="0" applyFont="1"/>
    <xf numFmtId="0" fontId="4" fillId="7" borderId="25" xfId="0" applyFont="1" applyFill="1" applyBorder="1" applyAlignment="1">
      <alignment horizontal="left"/>
    </xf>
    <xf numFmtId="0" fontId="5" fillId="0" borderId="31" xfId="0" applyFont="1" applyBorder="1"/>
    <xf numFmtId="4" fontId="4" fillId="0" borderId="32" xfId="0" applyNumberFormat="1" applyFont="1" applyBorder="1"/>
    <xf numFmtId="0" fontId="5" fillId="0" borderId="33" xfId="0" applyFont="1" applyBorder="1"/>
    <xf numFmtId="4" fontId="4" fillId="0" borderId="34" xfId="0" applyNumberFormat="1" applyFont="1" applyBorder="1"/>
    <xf numFmtId="4" fontId="3" fillId="5" borderId="15" xfId="1" applyNumberFormat="1" applyFont="1" applyFill="1" applyBorder="1"/>
    <xf numFmtId="0" fontId="5" fillId="0" borderId="0" xfId="0" applyFont="1" applyAlignment="1">
      <alignment horizontal="left"/>
    </xf>
    <xf numFmtId="0" fontId="5" fillId="0" borderId="1" xfId="0" applyFont="1" applyBorder="1" applyAlignment="1">
      <alignment horizontal="left"/>
    </xf>
    <xf numFmtId="0" fontId="4" fillId="0" borderId="1" xfId="0" applyFont="1" applyBorder="1" applyAlignment="1">
      <alignment horizontal="left"/>
    </xf>
    <xf numFmtId="0" fontId="4" fillId="2" borderId="36" xfId="0" applyFont="1" applyFill="1" applyBorder="1"/>
    <xf numFmtId="0" fontId="5" fillId="2" borderId="35" xfId="0" applyFont="1" applyFill="1" applyBorder="1"/>
    <xf numFmtId="0" fontId="4" fillId="0" borderId="36" xfId="0" applyFont="1" applyBorder="1" applyAlignment="1">
      <alignment horizontal="left"/>
    </xf>
    <xf numFmtId="0" fontId="4" fillId="0" borderId="36" xfId="0" applyFont="1" applyBorder="1"/>
    <xf numFmtId="3" fontId="4" fillId="0" borderId="36" xfId="0" applyNumberFormat="1" applyFont="1" applyBorder="1"/>
    <xf numFmtId="0" fontId="5" fillId="8" borderId="37" xfId="0" applyFont="1" applyFill="1" applyBorder="1"/>
    <xf numFmtId="3" fontId="4" fillId="8" borderId="38" xfId="0" applyNumberFormat="1" applyFont="1" applyFill="1" applyBorder="1"/>
    <xf numFmtId="3" fontId="4" fillId="0" borderId="38" xfId="0" applyNumberFormat="1" applyFont="1" applyBorder="1"/>
    <xf numFmtId="0" fontId="4" fillId="0" borderId="38" xfId="0" applyFont="1" applyBorder="1" applyAlignment="1">
      <alignment horizontal="left"/>
    </xf>
    <xf numFmtId="4" fontId="4" fillId="8" borderId="38" xfId="0" applyNumberFormat="1" applyFont="1" applyFill="1" applyBorder="1"/>
    <xf numFmtId="0" fontId="4" fillId="8" borderId="38" xfId="0" applyFont="1" applyFill="1" applyBorder="1"/>
    <xf numFmtId="4" fontId="4" fillId="0" borderId="38" xfId="0" applyNumberFormat="1" applyFont="1" applyBorder="1"/>
    <xf numFmtId="0" fontId="4" fillId="0" borderId="0" xfId="0" applyFont="1" applyAlignment="1">
      <alignment horizontal="center" wrapText="1"/>
    </xf>
    <xf numFmtId="41" fontId="3" fillId="0" borderId="0" xfId="0" applyNumberFormat="1" applyFont="1" applyAlignment="1">
      <alignment horizontal="center"/>
    </xf>
    <xf numFmtId="0" fontId="3" fillId="0" borderId="39" xfId="0" applyFont="1" applyBorder="1" applyAlignment="1">
      <alignment horizontal="center"/>
    </xf>
    <xf numFmtId="0" fontId="3" fillId="0" borderId="3" xfId="0" applyFont="1" applyBorder="1" applyAlignment="1">
      <alignment horizontal="center"/>
    </xf>
    <xf numFmtId="0" fontId="4" fillId="0" borderId="27" xfId="0" applyFont="1" applyBorder="1" applyAlignment="1">
      <alignment horizontal="left" indent="1"/>
    </xf>
    <xf numFmtId="3" fontId="3" fillId="0" borderId="28" xfId="1" applyNumberFormat="1" applyFont="1" applyFill="1" applyBorder="1"/>
    <xf numFmtId="4" fontId="3" fillId="0" borderId="28" xfId="0" applyNumberFormat="1" applyFont="1" applyBorder="1"/>
    <xf numFmtId="3" fontId="4" fillId="0" borderId="41" xfId="0" applyNumberFormat="1" applyFont="1" applyBorder="1" applyAlignment="1">
      <alignment horizontal="left"/>
    </xf>
    <xf numFmtId="0" fontId="4" fillId="0" borderId="40" xfId="0" applyFont="1" applyBorder="1"/>
    <xf numFmtId="173" fontId="4" fillId="0" borderId="0" xfId="0" applyNumberFormat="1" applyFont="1"/>
    <xf numFmtId="172" fontId="3" fillId="7" borderId="28" xfId="0" applyNumberFormat="1" applyFont="1" applyFill="1" applyBorder="1" applyAlignment="1">
      <alignment horizontal="left"/>
    </xf>
    <xf numFmtId="172" fontId="3" fillId="0" borderId="15" xfId="0" applyNumberFormat="1" applyFont="1" applyBorder="1"/>
    <xf numFmtId="3" fontId="4" fillId="0" borderId="22" xfId="0" applyNumberFormat="1" applyFont="1" applyBorder="1" applyAlignment="1">
      <alignment horizontal="left" indent="1"/>
    </xf>
    <xf numFmtId="3" fontId="4" fillId="0" borderId="19" xfId="0" applyNumberFormat="1" applyFont="1" applyBorder="1" applyAlignment="1">
      <alignment horizontal="left" indent="1"/>
    </xf>
    <xf numFmtId="3" fontId="4" fillId="0" borderId="13" xfId="0" applyNumberFormat="1" applyFont="1" applyBorder="1" applyAlignment="1">
      <alignment horizontal="left" indent="1"/>
    </xf>
    <xf numFmtId="3" fontId="5" fillId="4" borderId="16" xfId="0" applyNumberFormat="1" applyFont="1" applyFill="1" applyBorder="1"/>
    <xf numFmtId="3" fontId="4" fillId="4" borderId="38" xfId="0" applyNumberFormat="1" applyFont="1" applyFill="1" applyBorder="1"/>
    <xf numFmtId="3" fontId="4" fillId="4" borderId="17" xfId="0" applyNumberFormat="1" applyFont="1" applyFill="1" applyBorder="1"/>
    <xf numFmtId="3" fontId="4" fillId="5" borderId="41" xfId="0" applyNumberFormat="1" applyFont="1" applyFill="1" applyBorder="1"/>
    <xf numFmtId="3" fontId="4" fillId="0" borderId="5" xfId="0" applyNumberFormat="1" applyFont="1" applyBorder="1" applyAlignment="1">
      <alignment horizontal="left" indent="1"/>
    </xf>
    <xf numFmtId="3" fontId="4" fillId="0" borderId="0" xfId="3" applyNumberFormat="1" applyFont="1" applyFill="1"/>
    <xf numFmtId="0" fontId="5" fillId="2" borderId="38" xfId="0" applyFont="1" applyFill="1" applyBorder="1" applyAlignment="1">
      <alignment horizontal="center" vertical="center"/>
    </xf>
    <xf numFmtId="0" fontId="5" fillId="2" borderId="17" xfId="0" applyFont="1" applyFill="1" applyBorder="1" applyAlignment="1">
      <alignment horizontal="center" vertical="center"/>
    </xf>
    <xf numFmtId="0" fontId="2" fillId="4" borderId="16" xfId="0" applyFont="1" applyFill="1" applyBorder="1" applyAlignment="1">
      <alignment horizontal="left"/>
    </xf>
    <xf numFmtId="0" fontId="3" fillId="0" borderId="8" xfId="0" applyFont="1" applyBorder="1" applyAlignment="1">
      <alignment horizontal="left" indent="1"/>
    </xf>
    <xf numFmtId="0" fontId="3" fillId="0" borderId="19" xfId="0" applyFont="1" applyBorder="1" applyAlignment="1">
      <alignment horizontal="left" indent="1"/>
    </xf>
    <xf numFmtId="0" fontId="3" fillId="5" borderId="22" xfId="4" applyFont="1" applyFill="1" applyBorder="1" applyAlignment="1">
      <alignment horizontal="right"/>
    </xf>
    <xf numFmtId="4" fontId="3" fillId="4" borderId="38" xfId="0" applyNumberFormat="1" applyFont="1" applyFill="1" applyBorder="1"/>
    <xf numFmtId="4" fontId="3" fillId="4" borderId="17" xfId="0" applyNumberFormat="1" applyFont="1" applyFill="1" applyBorder="1"/>
    <xf numFmtId="4" fontId="3" fillId="0" borderId="41" xfId="0" applyNumberFormat="1" applyFont="1" applyBorder="1"/>
    <xf numFmtId="0" fontId="4" fillId="5" borderId="41" xfId="0" applyFont="1" applyFill="1" applyBorder="1"/>
    <xf numFmtId="3" fontId="3" fillId="5" borderId="41" xfId="4" applyNumberFormat="1" applyFont="1" applyFill="1" applyBorder="1" applyAlignment="1">
      <alignment horizontal="right"/>
    </xf>
    <xf numFmtId="3" fontId="3" fillId="5" borderId="41" xfId="0" applyNumberFormat="1" applyFont="1" applyFill="1" applyBorder="1"/>
    <xf numFmtId="3" fontId="3" fillId="5" borderId="22" xfId="4" applyNumberFormat="1" applyFont="1" applyFill="1" applyBorder="1" applyAlignment="1">
      <alignment horizontal="right"/>
    </xf>
    <xf numFmtId="3" fontId="3" fillId="5" borderId="22" xfId="0" applyNumberFormat="1" applyFont="1" applyFill="1" applyBorder="1"/>
    <xf numFmtId="3" fontId="3" fillId="4" borderId="38" xfId="4" applyNumberFormat="1" applyFont="1" applyFill="1" applyBorder="1" applyAlignment="1">
      <alignment horizontal="right"/>
    </xf>
    <xf numFmtId="3" fontId="3" fillId="4" borderId="38" xfId="0" applyNumberFormat="1" applyFont="1" applyFill="1" applyBorder="1"/>
    <xf numFmtId="3" fontId="3" fillId="4" borderId="17" xfId="0" applyNumberFormat="1" applyFont="1" applyFill="1" applyBorder="1"/>
    <xf numFmtId="0" fontId="4" fillId="0" borderId="19" xfId="0" applyFont="1" applyBorder="1" applyAlignment="1">
      <alignment horizontal="left" indent="1"/>
    </xf>
    <xf numFmtId="0" fontId="4" fillId="0" borderId="8" xfId="0" applyFont="1" applyBorder="1" applyAlignment="1">
      <alignment horizontal="left" indent="1"/>
    </xf>
    <xf numFmtId="0" fontId="4" fillId="4" borderId="38" xfId="0" applyFont="1" applyFill="1" applyBorder="1"/>
    <xf numFmtId="0" fontId="3" fillId="0" borderId="41" xfId="0" applyFont="1" applyBorder="1" applyAlignment="1">
      <alignment horizontal="left" indent="1"/>
    </xf>
    <xf numFmtId="0" fontId="3" fillId="0" borderId="22" xfId="0" applyFont="1" applyBorder="1" applyAlignment="1">
      <alignment horizontal="left" indent="1"/>
    </xf>
    <xf numFmtId="0" fontId="3" fillId="0" borderId="14" xfId="0" applyFont="1" applyBorder="1" applyAlignment="1">
      <alignment horizontal="left" indent="1"/>
    </xf>
    <xf numFmtId="0" fontId="5" fillId="4" borderId="16" xfId="0" applyFont="1" applyFill="1" applyBorder="1"/>
    <xf numFmtId="3" fontId="4" fillId="0" borderId="41" xfId="0" applyNumberFormat="1" applyFont="1" applyBorder="1"/>
    <xf numFmtId="172" fontId="4" fillId="5" borderId="22" xfId="0" applyNumberFormat="1" applyFont="1" applyFill="1" applyBorder="1"/>
    <xf numFmtId="0" fontId="3" fillId="0" borderId="0" xfId="4" applyFont="1" applyAlignment="1">
      <alignment horizontal="left" indent="1"/>
    </xf>
    <xf numFmtId="0" fontId="3" fillId="0" borderId="0" xfId="5" applyNumberFormat="1" applyFont="1" applyFill="1" applyBorder="1" applyAlignment="1">
      <alignment horizontal="left"/>
    </xf>
    <xf numFmtId="0" fontId="4" fillId="0" borderId="41" xfId="0" applyFont="1" applyBorder="1" applyAlignment="1">
      <alignment horizontal="left" indent="1"/>
    </xf>
    <xf numFmtId="4" fontId="3" fillId="0" borderId="41" xfId="1" applyNumberFormat="1" applyFont="1" applyBorder="1"/>
    <xf numFmtId="4" fontId="3" fillId="0" borderId="41" xfId="1" applyNumberFormat="1" applyFont="1" applyFill="1" applyBorder="1"/>
    <xf numFmtId="0" fontId="4" fillId="0" borderId="41" xfId="0" applyFont="1" applyBorder="1" applyAlignment="1">
      <alignment horizontal="left"/>
    </xf>
    <xf numFmtId="0" fontId="5" fillId="2" borderId="38" xfId="0" applyFont="1" applyFill="1" applyBorder="1"/>
    <xf numFmtId="4" fontId="4" fillId="2" borderId="38" xfId="0" applyNumberFormat="1" applyFont="1" applyFill="1" applyBorder="1"/>
    <xf numFmtId="0" fontId="4" fillId="2" borderId="38" xfId="0" applyFont="1" applyFill="1" applyBorder="1"/>
    <xf numFmtId="4" fontId="4" fillId="0" borderId="41" xfId="0" applyNumberFormat="1" applyFont="1" applyBorder="1"/>
    <xf numFmtId="3" fontId="4" fillId="0" borderId="0" xfId="0" applyNumberFormat="1" applyFont="1" applyAlignment="1">
      <alignment horizontal="left" indent="1"/>
    </xf>
    <xf numFmtId="0" fontId="4" fillId="0" borderId="5" xfId="0" applyFont="1" applyBorder="1" applyAlignment="1">
      <alignment horizontal="left" indent="1"/>
    </xf>
    <xf numFmtId="0" fontId="4" fillId="0" borderId="38" xfId="0" applyFont="1" applyBorder="1"/>
    <xf numFmtId="11" fontId="4" fillId="4" borderId="14" xfId="0" applyNumberFormat="1" applyFont="1" applyFill="1" applyBorder="1"/>
    <xf numFmtId="11" fontId="4" fillId="5" borderId="14" xfId="0" applyNumberFormat="1" applyFont="1" applyFill="1" applyBorder="1"/>
    <xf numFmtId="0" fontId="5" fillId="2" borderId="41" xfId="0" applyFont="1" applyFill="1" applyBorder="1"/>
    <xf numFmtId="41" fontId="4" fillId="2" borderId="38" xfId="0" applyNumberFormat="1" applyFont="1" applyFill="1" applyBorder="1"/>
    <xf numFmtId="11" fontId="4" fillId="0" borderId="0" xfId="0" applyNumberFormat="1" applyFont="1"/>
    <xf numFmtId="0" fontId="4" fillId="0" borderId="16" xfId="0" applyFont="1" applyBorder="1" applyAlignment="1">
      <alignment horizontal="center"/>
    </xf>
    <xf numFmtId="0" fontId="4" fillId="0" borderId="17"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5" fillId="0" borderId="17" xfId="0" applyFont="1" applyBorder="1" applyAlignment="1">
      <alignment horizontal="center"/>
    </xf>
    <xf numFmtId="41" fontId="5" fillId="0" borderId="16" xfId="0" applyNumberFormat="1" applyFont="1" applyBorder="1" applyAlignment="1">
      <alignment horizontal="center"/>
    </xf>
    <xf numFmtId="41" fontId="5" fillId="0" borderId="17" xfId="0" applyNumberFormat="1" applyFont="1" applyBorder="1" applyAlignment="1">
      <alignment horizontal="center"/>
    </xf>
  </cellXfs>
  <cellStyles count="6">
    <cellStyle name="Comma" xfId="3" builtinId="3"/>
    <cellStyle name="Currency" xfId="2" builtinId="4"/>
    <cellStyle name="Normal" xfId="0" builtinId="0"/>
    <cellStyle name="Normal 2" xfId="4" xr:uid="{00000000-0005-0000-0000-000003000000}"/>
    <cellStyle name="Percent" xfId="1" builtinId="5"/>
    <cellStyle name="Percent 2 2" xfId="5" xr:uid="{00000000-0005-0000-0000-000005000000}"/>
  </cellStyles>
  <dxfs count="0"/>
  <tableStyles count="0" defaultTableStyle="TableStyleMedium9" defaultPivotStyle="PivotStyleLight16"/>
  <colors>
    <mruColors>
      <color rgb="FFFF0000"/>
      <color rgb="FF0000CC"/>
      <color rgb="FF0000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52913</xdr:colOff>
      <xdr:row>19</xdr:row>
      <xdr:rowOff>84665</xdr:rowOff>
    </xdr:from>
    <xdr:to>
      <xdr:col>5</xdr:col>
      <xdr:colOff>31749</xdr:colOff>
      <xdr:row>24</xdr:row>
      <xdr:rowOff>31750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789080" y="3206748"/>
          <a:ext cx="3450169" cy="74083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pPr marL="0" indent="0"/>
          <a:r>
            <a:rPr lang="en-US" sz="1100">
              <a:solidFill>
                <a:schemeClr val="dk1"/>
              </a:solidFill>
              <a:effectLst/>
              <a:latin typeface="+mn-lt"/>
              <a:ea typeface="+mn-ea"/>
              <a:cs typeface="+mn-cs"/>
            </a:rPr>
            <a:t>'n/a' indicates O&amp;M costs entered as annual values. Additional</a:t>
          </a:r>
          <a:r>
            <a:rPr lang="en-US" sz="1100" baseline="0">
              <a:solidFill>
                <a:schemeClr val="dk1"/>
              </a:solidFill>
              <a:effectLst/>
              <a:latin typeface="+mn-lt"/>
              <a:ea typeface="+mn-ea"/>
              <a:cs typeface="+mn-cs"/>
            </a:rPr>
            <a:t> operation and maintenance and fuel costs are listed below. </a:t>
          </a:r>
          <a:r>
            <a:rPr lang="en-US" sz="1100">
              <a:solidFill>
                <a:schemeClr val="dk1"/>
              </a:solidFill>
              <a:effectLst/>
              <a:latin typeface="+mn-lt"/>
              <a:ea typeface="+mn-ea"/>
              <a:cs typeface="+mn-cs"/>
            </a:rPr>
            <a:t>See "ANNUAL VALUES" below.</a:t>
          </a:r>
        </a:p>
      </xdr:txBody>
    </xdr:sp>
    <xdr:clientData/>
  </xdr:twoCellAnchor>
  <xdr:twoCellAnchor>
    <xdr:from>
      <xdr:col>5</xdr:col>
      <xdr:colOff>31747</xdr:colOff>
      <xdr:row>97</xdr:row>
      <xdr:rowOff>42334</xdr:rowOff>
    </xdr:from>
    <xdr:to>
      <xdr:col>7</xdr:col>
      <xdr:colOff>444497</xdr:colOff>
      <xdr:row>100</xdr:row>
      <xdr:rowOff>43604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239247" y="15737417"/>
          <a:ext cx="3429000" cy="488104"/>
        </a:xfrm>
        <a:prstGeom prst="rect">
          <a:avLst/>
        </a:prstGeom>
        <a:solidFill>
          <a:schemeClr val="accent2">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'n/a' for a PBI or PTC amount indicates amounts entered as annual values. </a:t>
          </a:r>
          <a:r>
            <a:rPr lang="en-US" sz="1100" baseline="0"/>
            <a:t>See "ANNUAL VALUES" below.</a:t>
          </a:r>
          <a:endParaRPr lang="en-US" sz="1100"/>
        </a:p>
      </xdr:txBody>
    </xdr:sp>
    <xdr:clientData/>
  </xdr:twoCellAnchor>
  <xdr:twoCellAnchor>
    <xdr:from>
      <xdr:col>3</xdr:col>
      <xdr:colOff>57147</xdr:colOff>
      <xdr:row>44</xdr:row>
      <xdr:rowOff>4232</xdr:rowOff>
    </xdr:from>
    <xdr:to>
      <xdr:col>5</xdr:col>
      <xdr:colOff>10583</xdr:colOff>
      <xdr:row>54</xdr:row>
      <xdr:rowOff>21168</xdr:rowOff>
    </xdr:to>
    <xdr:sp macro="" textlink="">
      <xdr:nvSpPr>
        <xdr:cNvPr id="6" name="TextBox 5">
          <a:extLst>
            <a:ext uri="{FF2B5EF4-FFF2-40B4-BE49-F238E27FC236}">
              <a16:creationId xmlns:a16="http://schemas.microsoft.com/office/drawing/2014/main" id="{594AD579-CEBD-4CAE-ABEF-9FEFCE41B1F1}"/>
            </a:ext>
          </a:extLst>
        </xdr:cNvPr>
        <xdr:cNvSpPr txBox="1"/>
      </xdr:nvSpPr>
      <xdr:spPr>
        <a:xfrm>
          <a:off x="5793314" y="7116232"/>
          <a:ext cx="3424769" cy="1604436"/>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t>Cash flow reads the annual income tax rate from the table under </a:t>
          </a:r>
          <a:r>
            <a:rPr lang="en-US" sz="1100" baseline="0"/>
            <a:t>"ANNUAL VALUES" below. </a:t>
          </a:r>
          <a:r>
            <a:rPr lang="en-US" sz="1100" baseline="0">
              <a:solidFill>
                <a:schemeClr val="dk1"/>
              </a:solidFill>
              <a:effectLst/>
              <a:latin typeface="+mn-lt"/>
              <a:ea typeface="+mn-ea"/>
              <a:cs typeface="+mn-cs"/>
            </a:rPr>
            <a:t>Year 1 rates are shown here for reference.</a:t>
          </a:r>
          <a:endParaRPr lang="en-US">
            <a:effectLst/>
          </a:endParaRP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sales tax rate is shown here for reference, but is not used in the workbook calculations. SAM passes the total installed cost value to the spreadsheet. That value includes the sales tax, which is calculated on SAM's System Costs input page.</a:t>
          </a:r>
          <a:endParaRPr lang="en-US">
            <a:effectLst/>
          </a:endParaRPr>
        </a:p>
        <a:p>
          <a:endParaRPr lang="en-US" sz="1100"/>
        </a:p>
      </xdr:txBody>
    </xdr:sp>
    <xdr:clientData/>
  </xdr:twoCellAnchor>
  <xdr:twoCellAnchor>
    <xdr:from>
      <xdr:col>3</xdr:col>
      <xdr:colOff>52917</xdr:colOff>
      <xdr:row>28</xdr:row>
      <xdr:rowOff>0</xdr:rowOff>
    </xdr:from>
    <xdr:to>
      <xdr:col>5</xdr:col>
      <xdr:colOff>6353</xdr:colOff>
      <xdr:row>38</xdr:row>
      <xdr:rowOff>137583</xdr:rowOff>
    </xdr:to>
    <xdr:sp macro="" textlink="">
      <xdr:nvSpPr>
        <xdr:cNvPr id="8" name="TextBox 7">
          <a:extLst>
            <a:ext uri="{FF2B5EF4-FFF2-40B4-BE49-F238E27FC236}">
              <a16:creationId xmlns:a16="http://schemas.microsoft.com/office/drawing/2014/main" id="{42CB5C88-220A-4D96-9650-3F8BD4C5015A}"/>
            </a:ext>
          </a:extLst>
        </xdr:cNvPr>
        <xdr:cNvSpPr txBox="1"/>
      </xdr:nvSpPr>
      <xdr:spPr>
        <a:xfrm>
          <a:off x="5789084" y="4561417"/>
          <a:ext cx="3424769" cy="1735666"/>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An investor IRR target value of "N/A" indicates the solution mode in SAM is "Specify PPA price."</a:t>
          </a:r>
          <a:r>
            <a:rPr lang="en-US" sz="1100" baseline="0">
              <a:solidFill>
                <a:schemeClr val="dk1"/>
              </a:solidFill>
              <a:effectLst/>
              <a:latin typeface="+mn-lt"/>
              <a:ea typeface="+mn-ea"/>
              <a:cs typeface="+mn-cs"/>
            </a:rPr>
            <a:t>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If the PPA Price is modified by Time</a:t>
          </a:r>
          <a:r>
            <a:rPr lang="en-US" sz="1100" baseline="0"/>
            <a:t> of Delivery (TOD) multipliers, then the total PPA revenue in the cash flow is the sum of the products of PPA price ($/kWh), hourly (or subhourly) production (kWh) and TOD multiplier. The TOD multipliers do not appear in this workbook, but their effect is reflected in the annual PPA revenue row imported from SAM under"Annual Values" below.</a:t>
          </a:r>
          <a:endParaRPr lang="en-US">
            <a:effectLst/>
          </a:endParaRPr>
        </a:p>
        <a:p>
          <a:endParaRPr lang="en-US" sz="1100"/>
        </a:p>
      </xdr:txBody>
    </xdr:sp>
    <xdr:clientData/>
  </xdr:twoCellAnchor>
  <xdr:twoCellAnchor>
    <xdr:from>
      <xdr:col>6</xdr:col>
      <xdr:colOff>42333</xdr:colOff>
      <xdr:row>90</xdr:row>
      <xdr:rowOff>31750</xdr:rowOff>
    </xdr:from>
    <xdr:to>
      <xdr:col>8</xdr:col>
      <xdr:colOff>973667</xdr:colOff>
      <xdr:row>93</xdr:row>
      <xdr:rowOff>127000</xdr:rowOff>
    </xdr:to>
    <xdr:sp macro="" textlink="">
      <xdr:nvSpPr>
        <xdr:cNvPr id="2" name="TextBox 1">
          <a:extLst>
            <a:ext uri="{FF2B5EF4-FFF2-40B4-BE49-F238E27FC236}">
              <a16:creationId xmlns:a16="http://schemas.microsoft.com/office/drawing/2014/main" id="{0ECAF1F8-447F-4FA7-961A-252131514BFA}"/>
            </a:ext>
          </a:extLst>
        </xdr:cNvPr>
        <xdr:cNvSpPr txBox="1"/>
      </xdr:nvSpPr>
      <xdr:spPr>
        <a:xfrm>
          <a:off x="11017250" y="14615583"/>
          <a:ext cx="3429000" cy="571500"/>
        </a:xfrm>
        <a:prstGeom prst="rect">
          <a:avLst/>
        </a:prstGeom>
        <a:solidFill>
          <a:schemeClr val="accent2">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100"/>
            <a:t>For ITC allocated to multiple years, see "ANNUAL VALUES" below: Values here are shown as sums of annual values for reference.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Y198"/>
  <sheetViews>
    <sheetView tabSelected="1" zoomScale="90" zoomScaleNormal="90" workbookViewId="0"/>
  </sheetViews>
  <sheetFormatPr defaultColWidth="9.140625" defaultRowHeight="12.75" x14ac:dyDescent="0.2"/>
  <cols>
    <col min="1" max="1" width="3.42578125" style="4" customWidth="1"/>
    <col min="2" max="2" width="60.7109375" style="4" customWidth="1"/>
    <col min="3" max="3" width="21.7109375" style="4" customWidth="1"/>
    <col min="4" max="4" width="18.7109375" style="4" customWidth="1"/>
    <col min="5" max="5" width="33.28515625" style="4" customWidth="1"/>
    <col min="6" max="6" width="26.42578125" style="4" customWidth="1"/>
    <col min="7" max="9" width="18.7109375" style="4" customWidth="1"/>
    <col min="10" max="12" width="25.85546875" style="4" customWidth="1"/>
    <col min="13" max="13" width="21" style="4" customWidth="1"/>
    <col min="14" max="14" width="17" style="4" customWidth="1"/>
    <col min="15" max="251" width="13.7109375" style="4" customWidth="1"/>
    <col min="252" max="16384" width="9.140625" style="4"/>
  </cols>
  <sheetData>
    <row r="1" spans="1:48" ht="21" customHeight="1" x14ac:dyDescent="0.35">
      <c r="A1" s="247"/>
      <c r="B1" s="248" t="s">
        <v>261</v>
      </c>
      <c r="C1" s="247"/>
      <c r="D1" s="247"/>
      <c r="E1" s="247"/>
      <c r="F1" s="247"/>
      <c r="G1" s="247"/>
      <c r="H1" s="247"/>
      <c r="I1" s="247"/>
      <c r="J1" s="81"/>
      <c r="K1" s="81"/>
      <c r="L1" s="81"/>
      <c r="M1" s="81"/>
      <c r="N1" s="81"/>
    </row>
    <row r="2" spans="1:48" ht="12.75" customHeight="1" x14ac:dyDescent="0.2">
      <c r="B2" s="5" t="s">
        <v>85</v>
      </c>
      <c r="C2" s="104"/>
      <c r="D2" s="81"/>
      <c r="E2" s="82" t="s">
        <v>72</v>
      </c>
      <c r="G2" s="81"/>
      <c r="H2" s="199"/>
      <c r="J2" s="81"/>
      <c r="K2" s="81"/>
      <c r="L2" s="81"/>
      <c r="M2" s="81"/>
      <c r="N2" s="81"/>
    </row>
    <row r="3" spans="1:48" ht="12.75" customHeight="1" x14ac:dyDescent="0.2">
      <c r="B3" s="64" t="s">
        <v>167</v>
      </c>
      <c r="C3" s="105">
        <v>100000</v>
      </c>
      <c r="D3" s="81"/>
      <c r="E3" s="36" t="s">
        <v>156</v>
      </c>
      <c r="G3" s="81"/>
      <c r="H3" s="199"/>
      <c r="I3" s="119"/>
      <c r="J3" s="81"/>
      <c r="K3" s="81"/>
      <c r="L3" s="81"/>
      <c r="M3" s="81"/>
      <c r="N3" s="81"/>
    </row>
    <row r="4" spans="1:48" ht="12.75" customHeight="1" x14ac:dyDescent="0.2">
      <c r="B4" s="1"/>
      <c r="C4" s="108"/>
      <c r="D4" s="81"/>
      <c r="E4" s="219" t="s">
        <v>157</v>
      </c>
      <c r="G4" s="81"/>
      <c r="H4" s="27"/>
      <c r="I4" s="117"/>
      <c r="J4" s="81"/>
      <c r="K4" s="81"/>
      <c r="L4" s="81"/>
      <c r="M4" s="81"/>
      <c r="N4" s="81"/>
    </row>
    <row r="5" spans="1:48" ht="12.75" customHeight="1" x14ac:dyDescent="0.2">
      <c r="B5" s="5" t="s">
        <v>84</v>
      </c>
      <c r="C5" s="107"/>
      <c r="D5" s="81"/>
      <c r="E5" s="204" t="s">
        <v>240</v>
      </c>
      <c r="I5" s="119"/>
      <c r="K5" s="81"/>
      <c r="L5" s="81"/>
      <c r="M5" s="81"/>
      <c r="N5" s="81"/>
    </row>
    <row r="6" spans="1:48" x14ac:dyDescent="0.2">
      <c r="B6" s="37" t="s">
        <v>136</v>
      </c>
      <c r="C6" s="182">
        <v>106498000</v>
      </c>
      <c r="E6" s="239" t="s">
        <v>213</v>
      </c>
      <c r="G6" s="81"/>
      <c r="H6" s="81"/>
      <c r="I6" s="81"/>
      <c r="J6" s="81"/>
      <c r="K6" s="1"/>
      <c r="M6" s="20"/>
    </row>
    <row r="7" spans="1:48" x14ac:dyDescent="0.2">
      <c r="C7" s="108"/>
      <c r="G7" s="35"/>
      <c r="H7" s="35"/>
      <c r="I7" s="35"/>
      <c r="J7" s="35"/>
      <c r="M7" s="19"/>
    </row>
    <row r="8" spans="1:48" x14ac:dyDescent="0.2">
      <c r="B8" s="5" t="s">
        <v>137</v>
      </c>
      <c r="C8" s="107"/>
      <c r="E8" s="200" t="s">
        <v>171</v>
      </c>
      <c r="F8" s="201"/>
      <c r="G8" s="157"/>
      <c r="H8" s="119"/>
      <c r="I8" s="119"/>
      <c r="J8" s="119"/>
      <c r="M8" s="90"/>
      <c r="N8" s="27"/>
    </row>
    <row r="9" spans="1:48" x14ac:dyDescent="0.2">
      <c r="B9" s="85" t="s">
        <v>138</v>
      </c>
      <c r="C9" s="101">
        <v>0</v>
      </c>
      <c r="E9" s="202" t="s">
        <v>173</v>
      </c>
      <c r="F9" s="105">
        <f>'Cash Flow'!C16</f>
        <v>4</v>
      </c>
      <c r="G9" s="157"/>
      <c r="H9" s="157"/>
      <c r="I9" s="185"/>
      <c r="J9" s="157"/>
      <c r="K9" s="83"/>
      <c r="M9" s="91"/>
      <c r="O9" s="84"/>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row>
    <row r="10" spans="1:48" x14ac:dyDescent="0.2">
      <c r="B10" s="86" t="s">
        <v>161</v>
      </c>
      <c r="C10" s="102">
        <v>0</v>
      </c>
      <c r="E10" s="202" t="s">
        <v>172</v>
      </c>
      <c r="F10" s="106">
        <f>ppa_escalation</f>
        <v>1</v>
      </c>
      <c r="G10" s="119"/>
      <c r="H10" s="119"/>
      <c r="I10" s="153"/>
      <c r="J10" s="119"/>
      <c r="M10" s="90"/>
      <c r="N10" s="27"/>
    </row>
    <row r="11" spans="1:48" x14ac:dyDescent="0.2">
      <c r="B11" s="85" t="s">
        <v>430</v>
      </c>
      <c r="C11" s="101">
        <v>15</v>
      </c>
      <c r="E11" s="202" t="s">
        <v>212</v>
      </c>
      <c r="F11" s="106">
        <f>'Cash Flow'!B201</f>
        <v>4.3231549428436642</v>
      </c>
      <c r="G11" s="119"/>
      <c r="H11" s="119"/>
      <c r="I11" s="153"/>
      <c r="J11" s="119"/>
      <c r="M11" s="90"/>
      <c r="N11" s="27"/>
    </row>
    <row r="12" spans="1:48" x14ac:dyDescent="0.2">
      <c r="B12" s="86" t="s">
        <v>161</v>
      </c>
      <c r="C12" s="102">
        <v>0</v>
      </c>
      <c r="E12" s="202" t="s">
        <v>369</v>
      </c>
      <c r="F12" s="106">
        <f>'Cash Flow'!B197</f>
        <v>6.1470881801647783</v>
      </c>
      <c r="G12" s="119"/>
      <c r="H12" s="119"/>
      <c r="I12" s="153"/>
      <c r="J12" s="119"/>
      <c r="M12" s="90"/>
      <c r="N12" s="27"/>
    </row>
    <row r="13" spans="1:48" x14ac:dyDescent="0.2">
      <c r="B13" s="85" t="s">
        <v>139</v>
      </c>
      <c r="C13" s="101">
        <v>0</v>
      </c>
      <c r="E13" s="300" t="s">
        <v>324</v>
      </c>
      <c r="F13" s="106">
        <f>HLOOKUP(flip_target_year,'Cash Flow'!B2:AP184,183)</f>
        <v>0.51549999999999996</v>
      </c>
      <c r="G13" s="119"/>
      <c r="H13" s="119"/>
      <c r="I13" s="153"/>
      <c r="J13" s="119"/>
      <c r="M13" s="90"/>
      <c r="N13" s="27"/>
    </row>
    <row r="14" spans="1:48" x14ac:dyDescent="0.2">
      <c r="B14" s="342" t="s">
        <v>161</v>
      </c>
      <c r="C14" s="343">
        <v>0</v>
      </c>
      <c r="E14" s="300" t="s">
        <v>325</v>
      </c>
      <c r="F14" s="156">
        <f>IF(PPAPriceInput="Calculated",'Cash Flow'!B186,flip_target_year)</f>
        <v>20</v>
      </c>
      <c r="G14" s="119"/>
      <c r="H14" s="119"/>
      <c r="I14" s="153"/>
      <c r="J14" s="119"/>
      <c r="M14" s="90"/>
      <c r="N14" s="27"/>
    </row>
    <row r="15" spans="1:48" x14ac:dyDescent="0.2">
      <c r="B15" s="340"/>
      <c r="C15" s="341"/>
      <c r="D15" s="1"/>
      <c r="E15" s="300" t="s">
        <v>322</v>
      </c>
      <c r="F15" s="106">
        <f>HLOOKUP(analysis_period,'Cash Flow'!B2:AP184,183)</f>
        <v>1.8789</v>
      </c>
      <c r="G15" s="119"/>
      <c r="H15" s="119"/>
      <c r="I15" s="153"/>
      <c r="J15" s="119"/>
      <c r="M15" s="90"/>
      <c r="N15" s="27"/>
    </row>
    <row r="16" spans="1:48" x14ac:dyDescent="0.2">
      <c r="B16" s="5" t="s">
        <v>413</v>
      </c>
      <c r="C16" s="107"/>
      <c r="E16" s="300" t="s">
        <v>366</v>
      </c>
      <c r="F16" s="180">
        <f>'Cash Flow'!B188</f>
        <v>-36504780.053115785</v>
      </c>
      <c r="G16" s="119"/>
      <c r="H16" s="119"/>
      <c r="I16" s="153"/>
      <c r="J16" s="119"/>
      <c r="M16" s="90"/>
      <c r="N16" s="27"/>
    </row>
    <row r="17" spans="2:14" x14ac:dyDescent="0.2">
      <c r="B17" s="345" t="s">
        <v>414</v>
      </c>
      <c r="C17" s="101">
        <v>650.27800000000002</v>
      </c>
      <c r="E17" s="301" t="s">
        <v>323</v>
      </c>
      <c r="F17" s="106" t="str">
        <f>HLOOKUP(analysis_period,'Cash Flow'!B2:AP154,153)</f>
        <v>NaN</v>
      </c>
      <c r="G17" s="119"/>
      <c r="H17" s="119"/>
      <c r="I17" s="153"/>
      <c r="J17" s="119"/>
      <c r="M17" s="90"/>
      <c r="N17" s="27"/>
    </row>
    <row r="18" spans="2:14" x14ac:dyDescent="0.2">
      <c r="B18" s="345" t="s">
        <v>415</v>
      </c>
      <c r="C18" s="101">
        <v>0</v>
      </c>
      <c r="E18" s="301" t="s">
        <v>367</v>
      </c>
      <c r="F18" s="149">
        <f>'Cash Flow'!B157</f>
        <v>15062553.20578449</v>
      </c>
      <c r="G18" s="119"/>
      <c r="H18" s="119"/>
      <c r="I18" s="153"/>
      <c r="J18" s="119"/>
      <c r="M18" s="90"/>
      <c r="N18" s="27"/>
    </row>
    <row r="19" spans="2:14" x14ac:dyDescent="0.2">
      <c r="B19" s="345" t="s">
        <v>416</v>
      </c>
      <c r="C19" s="101">
        <v>0</v>
      </c>
      <c r="E19" s="300" t="s">
        <v>368</v>
      </c>
      <c r="F19" s="180">
        <f>'Cash Flow'!B76</f>
        <v>111989777.5</v>
      </c>
      <c r="G19" s="119"/>
      <c r="H19" s="119"/>
      <c r="I19" s="153"/>
      <c r="J19" s="119"/>
      <c r="M19" s="90"/>
      <c r="N19" s="27"/>
    </row>
    <row r="20" spans="2:14" x14ac:dyDescent="0.2">
      <c r="E20" s="198"/>
      <c r="F20" s="119"/>
      <c r="G20" s="186"/>
      <c r="H20" s="186"/>
      <c r="I20" s="187"/>
      <c r="J20" s="186"/>
      <c r="M20" s="90"/>
      <c r="N20" s="27"/>
    </row>
    <row r="21" spans="2:14" x14ac:dyDescent="0.2">
      <c r="B21" s="217" t="s">
        <v>417</v>
      </c>
      <c r="C21" s="218"/>
      <c r="F21" s="108"/>
      <c r="G21" s="119"/>
      <c r="H21" s="119"/>
      <c r="I21" s="153"/>
      <c r="J21" s="119"/>
      <c r="M21" s="90"/>
      <c r="N21" s="27"/>
    </row>
    <row r="22" spans="2:14" x14ac:dyDescent="0.2">
      <c r="B22" s="342" t="s">
        <v>186</v>
      </c>
      <c r="C22" s="322">
        <v>0</v>
      </c>
      <c r="G22" s="119"/>
      <c r="H22" s="119"/>
      <c r="I22" s="153"/>
      <c r="J22" s="119"/>
      <c r="M22" s="90"/>
      <c r="N22" s="27"/>
    </row>
    <row r="23" spans="2:14" x14ac:dyDescent="0.2">
      <c r="B23" s="38" t="s">
        <v>208</v>
      </c>
      <c r="C23" s="106">
        <v>0</v>
      </c>
      <c r="G23" s="119"/>
      <c r="H23" s="119"/>
      <c r="I23" s="153"/>
      <c r="J23" s="119"/>
      <c r="M23" s="90"/>
      <c r="N23" s="27"/>
    </row>
    <row r="24" spans="2:14" x14ac:dyDescent="0.2">
      <c r="B24" s="86" t="s">
        <v>187</v>
      </c>
      <c r="C24" s="101">
        <v>0</v>
      </c>
      <c r="G24" s="119"/>
      <c r="H24" s="119"/>
      <c r="I24" s="153"/>
      <c r="J24" s="119"/>
      <c r="M24" s="90"/>
      <c r="N24" s="27"/>
    </row>
    <row r="25" spans="2:14" x14ac:dyDescent="0.2">
      <c r="B25" s="342" t="s">
        <v>188</v>
      </c>
      <c r="C25" s="344">
        <v>0</v>
      </c>
      <c r="G25" s="119"/>
      <c r="H25" s="119"/>
      <c r="I25" s="153"/>
      <c r="J25" s="119"/>
      <c r="M25" s="90"/>
      <c r="N25" s="27"/>
    </row>
    <row r="26" spans="2:14" x14ac:dyDescent="0.2">
      <c r="B26" s="87"/>
      <c r="C26" s="109"/>
      <c r="G26" s="119"/>
      <c r="H26" s="119"/>
      <c r="I26" s="153"/>
      <c r="J26" s="119"/>
      <c r="M26" s="90"/>
    </row>
    <row r="27" spans="2:14" ht="13.5" thickBot="1" x14ac:dyDescent="0.25">
      <c r="B27" s="217" t="s">
        <v>86</v>
      </c>
      <c r="C27" s="218"/>
      <c r="G27" s="119"/>
      <c r="H27" s="119"/>
      <c r="I27" s="153"/>
      <c r="J27" s="119"/>
      <c r="M27" s="90"/>
      <c r="N27" s="89"/>
    </row>
    <row r="28" spans="2:14" x14ac:dyDescent="0.2">
      <c r="B28" s="273" t="s">
        <v>248</v>
      </c>
      <c r="C28" s="274"/>
      <c r="G28" s="119"/>
      <c r="H28" s="119"/>
      <c r="I28" s="153"/>
      <c r="J28" s="119"/>
      <c r="M28" s="90"/>
      <c r="N28" s="1"/>
    </row>
    <row r="29" spans="2:14" x14ac:dyDescent="0.2">
      <c r="B29" s="240" t="s">
        <v>326</v>
      </c>
      <c r="C29" s="241" t="s">
        <v>444</v>
      </c>
      <c r="G29" s="119"/>
      <c r="H29" s="119"/>
      <c r="I29" s="153"/>
      <c r="J29" s="119"/>
      <c r="M29" s="90"/>
      <c r="N29" s="1"/>
    </row>
    <row r="30" spans="2:14" x14ac:dyDescent="0.2">
      <c r="B30" s="297" t="s">
        <v>321</v>
      </c>
      <c r="C30" s="298">
        <v>20</v>
      </c>
      <c r="G30" s="119"/>
      <c r="H30" s="119"/>
      <c r="I30" s="153"/>
      <c r="J30" s="119"/>
      <c r="M30" s="90"/>
      <c r="N30" s="1"/>
    </row>
    <row r="31" spans="2:14" x14ac:dyDescent="0.2">
      <c r="B31" s="240" t="s">
        <v>198</v>
      </c>
      <c r="C31" s="303">
        <v>0.04</v>
      </c>
      <c r="G31" s="119"/>
      <c r="H31" s="119"/>
      <c r="I31" s="153"/>
      <c r="J31" s="119"/>
      <c r="M31" s="90"/>
      <c r="N31" s="1"/>
    </row>
    <row r="32" spans="2:14" x14ac:dyDescent="0.2">
      <c r="B32" s="297" t="s">
        <v>92</v>
      </c>
      <c r="C32" s="299">
        <v>1</v>
      </c>
      <c r="G32" s="119"/>
      <c r="H32" s="119"/>
      <c r="I32" s="153"/>
      <c r="J32" s="119"/>
      <c r="M32" s="90"/>
      <c r="N32" s="1"/>
    </row>
    <row r="33" spans="2:14" ht="13.5" thickBot="1" x14ac:dyDescent="0.25">
      <c r="B33" s="242" t="s">
        <v>247</v>
      </c>
      <c r="C33" s="272" t="s">
        <v>18</v>
      </c>
      <c r="G33" s="119"/>
      <c r="H33" s="119"/>
      <c r="I33" s="153"/>
      <c r="J33" s="119"/>
      <c r="M33" s="90"/>
      <c r="N33" s="1"/>
    </row>
    <row r="34" spans="2:14" x14ac:dyDescent="0.2">
      <c r="B34" s="275" t="s">
        <v>250</v>
      </c>
      <c r="C34" s="276"/>
      <c r="G34" s="119"/>
      <c r="H34" s="119"/>
      <c r="I34" s="153"/>
      <c r="J34" s="119"/>
      <c r="M34" s="90"/>
      <c r="N34" s="1"/>
    </row>
    <row r="35" spans="2:14" x14ac:dyDescent="0.2">
      <c r="B35" s="38" t="s">
        <v>251</v>
      </c>
      <c r="C35" s="110">
        <v>20</v>
      </c>
      <c r="G35" s="119"/>
      <c r="H35" s="119"/>
      <c r="I35" s="153"/>
      <c r="J35" s="119"/>
      <c r="M35" s="90"/>
      <c r="N35" s="1"/>
    </row>
    <row r="36" spans="2:14" x14ac:dyDescent="0.2">
      <c r="B36" s="38" t="s">
        <v>182</v>
      </c>
      <c r="C36" s="114">
        <f>sponsor_operating_margin*system_capacity</f>
        <v>2000000</v>
      </c>
      <c r="G36" s="119"/>
      <c r="H36" s="119"/>
      <c r="I36" s="153"/>
      <c r="J36" s="119"/>
      <c r="M36" s="90"/>
      <c r="N36" s="1"/>
    </row>
    <row r="37" spans="2:14" x14ac:dyDescent="0.2">
      <c r="B37" s="38" t="s">
        <v>252</v>
      </c>
      <c r="C37" s="110">
        <v>2</v>
      </c>
      <c r="G37" s="119"/>
      <c r="H37" s="119"/>
      <c r="I37" s="153"/>
      <c r="J37" s="119"/>
      <c r="M37" s="90"/>
      <c r="N37" s="1"/>
    </row>
    <row r="38" spans="2:14" x14ac:dyDescent="0.2">
      <c r="B38" s="38" t="s">
        <v>253</v>
      </c>
      <c r="C38" s="110">
        <v>6</v>
      </c>
      <c r="G38" s="119"/>
      <c r="H38" s="119"/>
      <c r="I38" s="153"/>
      <c r="J38" s="119"/>
      <c r="M38" s="90"/>
      <c r="N38" s="1"/>
    </row>
    <row r="39" spans="2:14" x14ac:dyDescent="0.2">
      <c r="B39" s="223" t="s">
        <v>87</v>
      </c>
      <c r="C39" s="224"/>
      <c r="G39" s="119"/>
      <c r="H39" s="119"/>
      <c r="I39" s="153"/>
      <c r="J39" s="119"/>
      <c r="M39" s="90"/>
      <c r="N39" s="1"/>
    </row>
    <row r="40" spans="2:14" x14ac:dyDescent="0.2">
      <c r="B40" s="38" t="s">
        <v>93</v>
      </c>
      <c r="C40" s="182">
        <v>25</v>
      </c>
      <c r="G40" s="119"/>
      <c r="H40" s="119"/>
      <c r="I40" s="153"/>
      <c r="J40" s="119"/>
      <c r="M40" s="90"/>
      <c r="N40" s="1"/>
    </row>
    <row r="41" spans="2:14" x14ac:dyDescent="0.2">
      <c r="B41" s="38" t="s">
        <v>94</v>
      </c>
      <c r="C41" s="110">
        <v>2.5</v>
      </c>
      <c r="G41" s="119"/>
      <c r="H41" s="119"/>
      <c r="I41" s="153"/>
      <c r="J41" s="119"/>
      <c r="K41" s="12"/>
      <c r="M41" s="90"/>
      <c r="N41" s="1"/>
    </row>
    <row r="42" spans="2:14" x14ac:dyDescent="0.2">
      <c r="B42" s="38" t="s">
        <v>96</v>
      </c>
      <c r="C42" s="113">
        <v>6.4</v>
      </c>
      <c r="G42" s="188"/>
      <c r="H42" s="119"/>
      <c r="I42" s="153"/>
      <c r="J42" s="119"/>
      <c r="K42" s="32"/>
      <c r="M42" s="90"/>
      <c r="N42" s="1"/>
    </row>
    <row r="43" spans="2:14" x14ac:dyDescent="0.2">
      <c r="B43" s="38" t="s">
        <v>95</v>
      </c>
      <c r="C43" s="114">
        <f>((inflation_rate/100+1)*(real_discount_rate/100+1)-1)*100</f>
        <v>9.0600000000000023</v>
      </c>
      <c r="G43" s="119"/>
      <c r="H43" s="119"/>
      <c r="I43" s="153"/>
      <c r="J43" s="119"/>
      <c r="K43" s="32"/>
      <c r="M43" s="90"/>
      <c r="N43" s="1"/>
    </row>
    <row r="44" spans="2:14" x14ac:dyDescent="0.2">
      <c r="B44" s="29" t="s">
        <v>88</v>
      </c>
      <c r="C44" s="112"/>
      <c r="G44" s="119"/>
      <c r="H44" s="119"/>
      <c r="I44" s="153"/>
      <c r="J44" s="119"/>
      <c r="M44" s="90"/>
      <c r="N44" s="1"/>
    </row>
    <row r="45" spans="2:14" x14ac:dyDescent="0.2">
      <c r="B45" s="38" t="s">
        <v>259</v>
      </c>
      <c r="C45" s="277">
        <v>21</v>
      </c>
      <c r="E45" s="198"/>
      <c r="F45" s="153"/>
      <c r="G45" s="119"/>
      <c r="H45" s="119"/>
      <c r="I45" s="153"/>
      <c r="J45" s="119"/>
      <c r="K45" s="12"/>
      <c r="M45" s="90"/>
      <c r="N45" s="1"/>
    </row>
    <row r="46" spans="2:14" x14ac:dyDescent="0.2">
      <c r="B46" s="38" t="s">
        <v>260</v>
      </c>
      <c r="C46" s="277">
        <v>7</v>
      </c>
      <c r="E46" s="198"/>
      <c r="F46" s="153"/>
      <c r="G46" s="119"/>
      <c r="H46" s="119"/>
      <c r="I46" s="153"/>
      <c r="J46" s="119"/>
      <c r="K46" s="32"/>
      <c r="M46" s="90"/>
      <c r="N46" s="1"/>
    </row>
    <row r="47" spans="2:14" x14ac:dyDescent="0.2">
      <c r="B47" s="38" t="s">
        <v>135</v>
      </c>
      <c r="C47" s="115">
        <v>5</v>
      </c>
      <c r="E47" s="198"/>
      <c r="F47" s="153"/>
      <c r="G47" s="119"/>
      <c r="H47" s="119"/>
      <c r="I47" s="153"/>
      <c r="J47" s="119"/>
      <c r="K47" s="32"/>
      <c r="M47" s="90"/>
      <c r="N47" s="1"/>
    </row>
    <row r="48" spans="2:14" x14ac:dyDescent="0.2">
      <c r="B48" s="38" t="s">
        <v>91</v>
      </c>
      <c r="C48" s="115">
        <v>0</v>
      </c>
      <c r="E48" s="184"/>
      <c r="F48" s="153"/>
      <c r="G48" s="119"/>
      <c r="H48" s="119"/>
      <c r="I48" s="153"/>
      <c r="J48" s="119"/>
      <c r="M48" s="90"/>
      <c r="N48" s="1"/>
    </row>
    <row r="49" spans="2:14" x14ac:dyDescent="0.2">
      <c r="B49" s="40" t="s">
        <v>0</v>
      </c>
      <c r="C49" s="111"/>
      <c r="E49" s="184"/>
      <c r="F49" s="153"/>
      <c r="G49" s="119"/>
      <c r="H49" s="119"/>
      <c r="I49" s="153"/>
      <c r="J49" s="119"/>
      <c r="K49" s="12"/>
      <c r="M49" s="90"/>
      <c r="N49" s="1"/>
    </row>
    <row r="50" spans="2:14" x14ac:dyDescent="0.2">
      <c r="B50" s="39" t="s">
        <v>97</v>
      </c>
      <c r="C50" s="116">
        <v>100</v>
      </c>
      <c r="E50" s="184"/>
      <c r="F50" s="153"/>
      <c r="G50" s="119"/>
      <c r="H50" s="119"/>
      <c r="I50" s="153"/>
      <c r="J50" s="119"/>
      <c r="K50" s="32"/>
      <c r="M50" s="90"/>
      <c r="N50" s="1"/>
    </row>
    <row r="51" spans="2:14" x14ac:dyDescent="0.2">
      <c r="B51" s="39" t="s">
        <v>99</v>
      </c>
      <c r="C51" s="243">
        <f>total_installed_cost*prop_tax_cost_assessed_percent/100</f>
        <v>106498000</v>
      </c>
      <c r="E51" s="184"/>
      <c r="F51" s="153"/>
      <c r="G51" s="119"/>
      <c r="H51" s="119"/>
      <c r="I51" s="153"/>
      <c r="J51" s="119"/>
      <c r="M51" s="90"/>
      <c r="N51" s="1"/>
    </row>
    <row r="52" spans="2:14" x14ac:dyDescent="0.2">
      <c r="B52" s="39" t="s">
        <v>98</v>
      </c>
      <c r="C52" s="115">
        <v>0</v>
      </c>
      <c r="E52" s="184"/>
      <c r="F52" s="153"/>
      <c r="G52" s="119"/>
      <c r="H52" s="119"/>
      <c r="I52" s="153"/>
      <c r="J52" s="119"/>
      <c r="K52" s="1"/>
      <c r="M52" s="90"/>
      <c r="N52" s="1"/>
    </row>
    <row r="53" spans="2:14" x14ac:dyDescent="0.2">
      <c r="B53" s="39" t="s">
        <v>100</v>
      </c>
      <c r="C53" s="115">
        <v>0</v>
      </c>
      <c r="E53" s="184"/>
      <c r="F53" s="153"/>
      <c r="G53" s="119"/>
      <c r="H53" s="119"/>
      <c r="I53" s="153"/>
      <c r="J53" s="119"/>
      <c r="M53" s="90"/>
      <c r="N53" s="1"/>
    </row>
    <row r="54" spans="2:14" x14ac:dyDescent="0.2">
      <c r="B54" s="29" t="s">
        <v>36</v>
      </c>
      <c r="C54" s="111"/>
      <c r="E54" s="184"/>
      <c r="F54" s="153"/>
      <c r="G54" s="119"/>
      <c r="H54" s="119"/>
      <c r="I54" s="153"/>
      <c r="J54" s="119"/>
      <c r="M54" s="90"/>
      <c r="N54" s="1"/>
    </row>
    <row r="55" spans="2:14" x14ac:dyDescent="0.2">
      <c r="B55" s="37" t="s">
        <v>159</v>
      </c>
      <c r="C55" s="110">
        <v>0</v>
      </c>
      <c r="E55" s="184"/>
      <c r="F55" s="153"/>
      <c r="G55" s="119"/>
      <c r="H55" s="119"/>
      <c r="I55" s="153"/>
      <c r="J55" s="119"/>
      <c r="M55" s="90"/>
      <c r="N55" s="1"/>
    </row>
    <row r="56" spans="2:14" x14ac:dyDescent="0.2">
      <c r="B56" s="37" t="s">
        <v>158</v>
      </c>
      <c r="C56" s="243">
        <f>total_installed_cost*salvage_percentage/100</f>
        <v>0</v>
      </c>
      <c r="G56" s="119"/>
      <c r="H56" s="119"/>
      <c r="I56" s="153"/>
      <c r="J56" s="119"/>
      <c r="M56" s="90"/>
      <c r="N56" s="1"/>
    </row>
    <row r="57" spans="2:14" x14ac:dyDescent="0.2">
      <c r="C57" s="117"/>
      <c r="I57" s="20"/>
      <c r="M57" s="90"/>
      <c r="N57" s="1"/>
    </row>
    <row r="58" spans="2:14" x14ac:dyDescent="0.2">
      <c r="B58" s="5" t="s">
        <v>104</v>
      </c>
      <c r="C58" s="98"/>
      <c r="I58" s="20"/>
      <c r="M58" s="90"/>
      <c r="N58" s="1"/>
    </row>
    <row r="59" spans="2:14" x14ac:dyDescent="0.2">
      <c r="B59" s="37" t="s">
        <v>254</v>
      </c>
      <c r="C59" s="115">
        <v>300000</v>
      </c>
      <c r="I59" s="20"/>
      <c r="M59" s="90"/>
      <c r="N59" s="1"/>
    </row>
    <row r="60" spans="2:14" x14ac:dyDescent="0.2">
      <c r="B60" s="37" t="s">
        <v>255</v>
      </c>
      <c r="C60" s="115">
        <v>0</v>
      </c>
      <c r="I60" s="20"/>
      <c r="M60" s="90"/>
      <c r="N60" s="1"/>
    </row>
    <row r="61" spans="2:14" x14ac:dyDescent="0.2">
      <c r="B61" s="37" t="s">
        <v>256</v>
      </c>
      <c r="C61" s="115">
        <v>3</v>
      </c>
      <c r="I61" s="20"/>
      <c r="M61" s="90"/>
      <c r="N61" s="1"/>
    </row>
    <row r="62" spans="2:14" x14ac:dyDescent="0.2">
      <c r="B62" s="37" t="s">
        <v>258</v>
      </c>
      <c r="C62" s="243">
        <f>cost_dev_fee_percent/100*total_installed_cost</f>
        <v>3194940</v>
      </c>
      <c r="I62" s="20"/>
      <c r="M62" s="90"/>
      <c r="N62" s="1"/>
    </row>
    <row r="63" spans="2:14" x14ac:dyDescent="0.2">
      <c r="B63" s="37" t="s">
        <v>257</v>
      </c>
      <c r="C63" s="243">
        <f>C62*(federal_tax_rate/100*(1-state_tax_rate/100)+state_tax_rate/100)</f>
        <v>847617.58199999994</v>
      </c>
      <c r="I63" s="20"/>
      <c r="M63" s="90"/>
      <c r="N63" s="1"/>
    </row>
    <row r="64" spans="2:14" x14ac:dyDescent="0.2">
      <c r="C64" s="97"/>
      <c r="I64" s="20"/>
      <c r="M64" s="90"/>
      <c r="N64" s="1"/>
    </row>
    <row r="65" spans="2:14" x14ac:dyDescent="0.2">
      <c r="B65" s="5" t="s">
        <v>116</v>
      </c>
      <c r="C65" s="98"/>
      <c r="M65" s="90"/>
      <c r="N65" s="1"/>
    </row>
    <row r="66" spans="2:14" x14ac:dyDescent="0.2">
      <c r="B66" s="37" t="s">
        <v>160</v>
      </c>
      <c r="C66" s="99">
        <v>1996840</v>
      </c>
      <c r="M66" s="90"/>
      <c r="N66" s="1"/>
    </row>
    <row r="67" spans="2:14" x14ac:dyDescent="0.2">
      <c r="C67" s="100"/>
      <c r="M67" s="90"/>
      <c r="N67" s="1"/>
    </row>
    <row r="68" spans="2:14" x14ac:dyDescent="0.2">
      <c r="B68" s="5" t="s">
        <v>185</v>
      </c>
      <c r="C68" s="7"/>
      <c r="D68" s="7"/>
      <c r="E68" s="7"/>
      <c r="F68" s="7"/>
      <c r="G68" s="7"/>
      <c r="H68" s="7"/>
      <c r="I68" s="6"/>
      <c r="M68" s="90"/>
      <c r="N68" s="1"/>
    </row>
    <row r="69" spans="2:14" ht="25.5" x14ac:dyDescent="0.2">
      <c r="B69" s="37"/>
      <c r="C69" s="215" t="s">
        <v>110</v>
      </c>
      <c r="D69" s="214" t="s">
        <v>111</v>
      </c>
      <c r="E69" s="214" t="s">
        <v>112</v>
      </c>
      <c r="F69" s="214" t="s">
        <v>113</v>
      </c>
      <c r="G69" s="214" t="s">
        <v>23</v>
      </c>
      <c r="H69" s="214" t="s">
        <v>24</v>
      </c>
      <c r="I69" s="214" t="s">
        <v>114</v>
      </c>
      <c r="M69" s="90"/>
      <c r="N69" s="1"/>
    </row>
    <row r="70" spans="2:14" x14ac:dyDescent="0.2">
      <c r="B70" s="37" t="s">
        <v>105</v>
      </c>
      <c r="C70" s="189">
        <v>100</v>
      </c>
      <c r="D70" s="191">
        <v>1</v>
      </c>
      <c r="E70" s="156">
        <v>6</v>
      </c>
      <c r="F70" s="194">
        <v>3.5</v>
      </c>
      <c r="G70" s="189">
        <f>C70/100*total_installed_cost</f>
        <v>106498000</v>
      </c>
      <c r="H70" s="189">
        <f>G70*F70/100*E70/12*0.5</f>
        <v>931857.5</v>
      </c>
      <c r="I70" s="189">
        <f>H70+D70/100*G70</f>
        <v>1996837.5</v>
      </c>
      <c r="M70" s="90"/>
      <c r="N70" s="1"/>
    </row>
    <row r="71" spans="2:14" x14ac:dyDescent="0.2">
      <c r="B71" s="37" t="s">
        <v>106</v>
      </c>
      <c r="C71" s="189">
        <v>0</v>
      </c>
      <c r="D71" s="191">
        <v>0</v>
      </c>
      <c r="E71" s="156">
        <v>0</v>
      </c>
      <c r="F71" s="194">
        <v>0</v>
      </c>
      <c r="G71" s="189">
        <f>C71/100*total_installed_cost</f>
        <v>0</v>
      </c>
      <c r="H71" s="189">
        <f>G71*F71/100*E71/12*0.5</f>
        <v>0</v>
      </c>
      <c r="I71" s="189">
        <f t="shared" ref="I71:I74" si="0">H71+D71/100*G71</f>
        <v>0</v>
      </c>
      <c r="M71" s="90"/>
      <c r="N71" s="1"/>
    </row>
    <row r="72" spans="2:14" x14ac:dyDescent="0.2">
      <c r="B72" s="37" t="s">
        <v>107</v>
      </c>
      <c r="C72" s="189">
        <v>0</v>
      </c>
      <c r="D72" s="191">
        <v>0</v>
      </c>
      <c r="E72" s="156">
        <v>0</v>
      </c>
      <c r="F72" s="194">
        <v>0</v>
      </c>
      <c r="G72" s="189">
        <f>C72/100*total_installed_cost</f>
        <v>0</v>
      </c>
      <c r="H72" s="189">
        <f>G72*F72/100*E72/12*0.5</f>
        <v>0</v>
      </c>
      <c r="I72" s="189">
        <f t="shared" si="0"/>
        <v>0</v>
      </c>
      <c r="M72" s="90"/>
      <c r="N72" s="1"/>
    </row>
    <row r="73" spans="2:14" x14ac:dyDescent="0.2">
      <c r="B73" s="37" t="s">
        <v>108</v>
      </c>
      <c r="C73" s="189">
        <v>0</v>
      </c>
      <c r="D73" s="191">
        <v>0</v>
      </c>
      <c r="E73" s="156">
        <v>0</v>
      </c>
      <c r="F73" s="194">
        <v>0</v>
      </c>
      <c r="G73" s="189">
        <f>C73/100*total_installed_cost</f>
        <v>0</v>
      </c>
      <c r="H73" s="189">
        <f>G73*F73/100*E73/12*0.5</f>
        <v>0</v>
      </c>
      <c r="I73" s="189">
        <f t="shared" si="0"/>
        <v>0</v>
      </c>
      <c r="M73" s="90"/>
      <c r="N73" s="1"/>
    </row>
    <row r="74" spans="2:14" x14ac:dyDescent="0.2">
      <c r="B74" s="37" t="s">
        <v>109</v>
      </c>
      <c r="C74" s="190">
        <v>0</v>
      </c>
      <c r="D74" s="192">
        <v>0</v>
      </c>
      <c r="E74" s="193">
        <v>0</v>
      </c>
      <c r="F74" s="195">
        <v>0</v>
      </c>
      <c r="G74" s="189">
        <f>C74/100*total_installed_cost</f>
        <v>0</v>
      </c>
      <c r="H74" s="189">
        <f>G74*F74/100*E74/12*0.5</f>
        <v>0</v>
      </c>
      <c r="I74" s="189">
        <f t="shared" si="0"/>
        <v>0</v>
      </c>
      <c r="M74" s="90"/>
      <c r="N74" s="1"/>
    </row>
    <row r="75" spans="2:14" x14ac:dyDescent="0.2">
      <c r="B75" s="41" t="s">
        <v>115</v>
      </c>
      <c r="C75" s="42"/>
      <c r="D75" s="30"/>
      <c r="E75" s="30"/>
      <c r="F75" s="43"/>
      <c r="G75" s="44">
        <f>SUM(G70:G74)</f>
        <v>106498000</v>
      </c>
      <c r="H75" s="45">
        <f>SUM(H70:H74)</f>
        <v>931857.5</v>
      </c>
      <c r="I75" s="46">
        <f>SUM(I70:I74)</f>
        <v>1996837.5</v>
      </c>
      <c r="M75" s="90"/>
      <c r="N75" s="1"/>
    </row>
    <row r="76" spans="2:14" x14ac:dyDescent="0.2">
      <c r="C76" s="100"/>
      <c r="M76" s="90"/>
      <c r="N76" s="1"/>
    </row>
    <row r="77" spans="2:14" x14ac:dyDescent="0.2">
      <c r="B77" s="5" t="s">
        <v>117</v>
      </c>
      <c r="C77" s="7"/>
      <c r="D77" s="7"/>
      <c r="E77" s="7"/>
      <c r="F77" s="158"/>
      <c r="M77" s="90"/>
      <c r="N77" s="1"/>
    </row>
    <row r="78" spans="2:14" x14ac:dyDescent="0.2">
      <c r="B78" s="37" t="s">
        <v>118</v>
      </c>
      <c r="C78" s="118">
        <v>1.25</v>
      </c>
      <c r="F78" s="158"/>
      <c r="M78" s="90"/>
      <c r="N78" s="1"/>
    </row>
    <row r="79" spans="2:14" x14ac:dyDescent="0.2">
      <c r="B79" s="37" t="s">
        <v>126</v>
      </c>
      <c r="C79" s="118">
        <v>6</v>
      </c>
      <c r="F79" s="158"/>
      <c r="M79" s="90"/>
      <c r="N79" s="1"/>
    </row>
    <row r="80" spans="2:14" x14ac:dyDescent="0.2">
      <c r="B80" s="9" t="s">
        <v>270</v>
      </c>
      <c r="C80" s="118">
        <f>tax_investor_required_lease_reserve</f>
        <v>6</v>
      </c>
      <c r="F80" s="158"/>
      <c r="M80" s="90"/>
      <c r="N80" s="1"/>
    </row>
    <row r="81" spans="2:14" x14ac:dyDescent="0.2">
      <c r="B81" s="9" t="s">
        <v>232</v>
      </c>
      <c r="C81" s="118">
        <v>0</v>
      </c>
      <c r="F81" s="158"/>
      <c r="M81" s="90"/>
      <c r="N81" s="1"/>
    </row>
    <row r="82" spans="2:14" x14ac:dyDescent="0.2">
      <c r="B82" s="37" t="s">
        <v>119</v>
      </c>
      <c r="C82" s="96" t="s">
        <v>166</v>
      </c>
      <c r="D82" s="214" t="s">
        <v>123</v>
      </c>
      <c r="E82" s="226" t="s">
        <v>124</v>
      </c>
      <c r="F82" s="158"/>
      <c r="M82" s="90"/>
      <c r="N82" s="1"/>
    </row>
    <row r="83" spans="2:14" x14ac:dyDescent="0.2">
      <c r="B83" s="50" t="s">
        <v>120</v>
      </c>
      <c r="C83" s="118">
        <v>0.1</v>
      </c>
      <c r="D83" s="243">
        <f>C83*system_capacity</f>
        <v>10000</v>
      </c>
      <c r="E83" s="227">
        <v>15</v>
      </c>
      <c r="F83" s="158"/>
      <c r="M83" s="90"/>
      <c r="N83" s="1"/>
    </row>
    <row r="84" spans="2:14" x14ac:dyDescent="0.2">
      <c r="B84" s="38" t="s">
        <v>122</v>
      </c>
      <c r="C84" s="118">
        <v>0</v>
      </c>
      <c r="D84" s="243">
        <f>C84*system_capacity</f>
        <v>0</v>
      </c>
      <c r="E84" s="227">
        <v>15</v>
      </c>
      <c r="F84" s="158"/>
      <c r="M84" s="90"/>
      <c r="N84" s="1"/>
    </row>
    <row r="85" spans="2:14" x14ac:dyDescent="0.2">
      <c r="B85" s="61" t="s">
        <v>121</v>
      </c>
      <c r="C85" s="118">
        <v>0</v>
      </c>
      <c r="D85" s="243">
        <f>C85*system_capacity</f>
        <v>0</v>
      </c>
      <c r="E85" s="227">
        <v>3</v>
      </c>
      <c r="F85" s="158"/>
      <c r="M85" s="90"/>
      <c r="N85" s="1"/>
    </row>
    <row r="86" spans="2:14" x14ac:dyDescent="0.2">
      <c r="B86" s="40" t="s">
        <v>125</v>
      </c>
      <c r="C86" s="31"/>
      <c r="D86" s="196"/>
      <c r="E86" s="196"/>
      <c r="F86" s="158"/>
      <c r="M86" s="90"/>
      <c r="N86" s="1"/>
    </row>
    <row r="87" spans="2:14" x14ac:dyDescent="0.2">
      <c r="B87" s="48" t="s">
        <v>4</v>
      </c>
      <c r="C87" s="225" t="s">
        <v>30</v>
      </c>
      <c r="D87" s="158"/>
      <c r="F87" s="158"/>
      <c r="M87" s="90"/>
      <c r="N87" s="1"/>
    </row>
    <row r="88" spans="2:14" x14ac:dyDescent="0.2">
      <c r="B88" s="48" t="s">
        <v>5</v>
      </c>
      <c r="C88" s="225" t="s">
        <v>30</v>
      </c>
      <c r="D88" s="228"/>
      <c r="E88" s="229"/>
      <c r="F88" s="158"/>
      <c r="M88" s="90"/>
      <c r="N88" s="1"/>
    </row>
    <row r="89" spans="2:14" x14ac:dyDescent="0.2">
      <c r="M89" s="90"/>
      <c r="N89" s="1"/>
    </row>
    <row r="90" spans="2:14" x14ac:dyDescent="0.2">
      <c r="B90" s="5" t="s">
        <v>127</v>
      </c>
      <c r="C90" s="7"/>
      <c r="D90" s="7"/>
      <c r="E90" s="7"/>
      <c r="F90" s="6"/>
      <c r="M90" s="90"/>
      <c r="N90" s="1"/>
    </row>
    <row r="91" spans="2:14" x14ac:dyDescent="0.2">
      <c r="B91" s="29" t="s">
        <v>2</v>
      </c>
      <c r="C91" s="30"/>
      <c r="D91" s="51"/>
      <c r="E91" s="358" t="s">
        <v>207</v>
      </c>
      <c r="F91" s="359"/>
      <c r="M91" s="90"/>
      <c r="N91" s="1"/>
    </row>
    <row r="92" spans="2:14" x14ac:dyDescent="0.2">
      <c r="B92" s="50" t="s">
        <v>129</v>
      </c>
      <c r="C92" s="8" t="s">
        <v>182</v>
      </c>
      <c r="D92" s="60"/>
      <c r="E92" s="214" t="s">
        <v>4</v>
      </c>
      <c r="F92" s="214" t="s">
        <v>5</v>
      </c>
      <c r="M92" s="90"/>
      <c r="N92" s="1"/>
    </row>
    <row r="93" spans="2:14" x14ac:dyDescent="0.2">
      <c r="B93" s="49" t="s">
        <v>130</v>
      </c>
      <c r="C93" s="141">
        <f>SUM(D159:AQ159)</f>
        <v>0</v>
      </c>
      <c r="D93" s="33"/>
      <c r="E93" s="10" t="s">
        <v>17</v>
      </c>
      <c r="F93" s="10" t="s">
        <v>17</v>
      </c>
      <c r="M93" s="90"/>
      <c r="N93" s="1"/>
    </row>
    <row r="94" spans="2:14" x14ac:dyDescent="0.2">
      <c r="B94" s="49" t="s">
        <v>131</v>
      </c>
      <c r="C94" s="141">
        <f>SUM(D160:AQ160)</f>
        <v>0</v>
      </c>
      <c r="D94" s="53"/>
      <c r="E94" s="59" t="s">
        <v>18</v>
      </c>
      <c r="F94" s="56" t="s">
        <v>18</v>
      </c>
      <c r="M94" s="90"/>
      <c r="N94" s="1"/>
    </row>
    <row r="95" spans="2:14" x14ac:dyDescent="0.2">
      <c r="B95" s="48" t="s">
        <v>134</v>
      </c>
      <c r="C95" s="10" t="s">
        <v>7</v>
      </c>
      <c r="D95" s="13" t="s">
        <v>153</v>
      </c>
      <c r="E95" s="57"/>
      <c r="F95" s="55"/>
      <c r="M95" s="90"/>
      <c r="N95" s="1"/>
    </row>
    <row r="96" spans="2:14" x14ac:dyDescent="0.2">
      <c r="B96" s="49" t="s">
        <v>132</v>
      </c>
      <c r="C96" s="96">
        <f>SUM(D161:AQ161)</f>
        <v>30</v>
      </c>
      <c r="D96" s="47">
        <f>SUM(D162:AQ162)</f>
        <v>2.4999999999999998E+39</v>
      </c>
      <c r="E96" s="54" t="s">
        <v>17</v>
      </c>
      <c r="F96" s="54" t="s">
        <v>17</v>
      </c>
      <c r="M96" s="90"/>
      <c r="N96" s="1"/>
    </row>
    <row r="97" spans="2:14" ht="13.5" thickBot="1" x14ac:dyDescent="0.25">
      <c r="B97" s="78" t="s">
        <v>133</v>
      </c>
      <c r="C97" s="262">
        <f>SUM(D163:AQ163)</f>
        <v>0</v>
      </c>
      <c r="D97" s="238">
        <f>SUM(D164:AQ164)</f>
        <v>2.4999999999999998E+39</v>
      </c>
      <c r="E97" s="65" t="s">
        <v>18</v>
      </c>
      <c r="F97" s="65" t="s">
        <v>18</v>
      </c>
      <c r="M97" s="90"/>
      <c r="N97" s="1"/>
    </row>
    <row r="98" spans="2:14" x14ac:dyDescent="0.2">
      <c r="B98" s="79" t="s">
        <v>6</v>
      </c>
      <c r="C98" s="260" t="s">
        <v>9</v>
      </c>
      <c r="D98" s="261" t="s">
        <v>183</v>
      </c>
      <c r="E98" s="13" t="s">
        <v>181</v>
      </c>
      <c r="F98" s="158"/>
      <c r="M98" s="90"/>
      <c r="N98" s="1"/>
    </row>
    <row r="99" spans="2:14" x14ac:dyDescent="0.2">
      <c r="B99" s="48" t="s">
        <v>4</v>
      </c>
      <c r="C99" s="304">
        <v>0</v>
      </c>
      <c r="D99" s="142">
        <v>10</v>
      </c>
      <c r="E99" s="259">
        <v>0</v>
      </c>
      <c r="F99" s="158"/>
      <c r="M99" s="90"/>
      <c r="N99" s="1"/>
    </row>
    <row r="100" spans="2:14" x14ac:dyDescent="0.2">
      <c r="B100" s="48" t="s">
        <v>5</v>
      </c>
      <c r="C100" s="304">
        <v>0</v>
      </c>
      <c r="D100" s="142">
        <v>10</v>
      </c>
      <c r="E100" s="259">
        <v>0</v>
      </c>
      <c r="F100" s="158"/>
      <c r="M100" s="90"/>
      <c r="N100" s="1"/>
    </row>
    <row r="101" spans="2:14" x14ac:dyDescent="0.2">
      <c r="B101" s="22"/>
      <c r="C101" s="11"/>
      <c r="D101" s="12"/>
      <c r="M101" s="90"/>
      <c r="N101" s="1"/>
    </row>
    <row r="102" spans="2:14" x14ac:dyDescent="0.2">
      <c r="B102" s="217" t="s">
        <v>128</v>
      </c>
      <c r="C102" s="232"/>
      <c r="D102" s="232"/>
      <c r="E102" s="232"/>
      <c r="F102" s="232"/>
      <c r="G102" s="232"/>
      <c r="H102" s="233"/>
      <c r="I102" s="35"/>
      <c r="M102" s="90"/>
    </row>
    <row r="103" spans="2:14" x14ac:dyDescent="0.2">
      <c r="B103" s="29" t="s">
        <v>16</v>
      </c>
      <c r="C103" s="30"/>
      <c r="D103" s="30"/>
      <c r="E103" s="70"/>
      <c r="F103" s="70"/>
      <c r="G103" s="70"/>
      <c r="H103" s="55"/>
      <c r="M103" s="90"/>
    </row>
    <row r="104" spans="2:14" x14ac:dyDescent="0.2">
      <c r="B104" s="75" t="s">
        <v>129</v>
      </c>
      <c r="C104" s="8" t="s">
        <v>182</v>
      </c>
      <c r="D104" s="230"/>
      <c r="E104" s="58" t="s">
        <v>199</v>
      </c>
      <c r="F104" s="54" t="s">
        <v>200</v>
      </c>
      <c r="G104" s="54" t="s">
        <v>201</v>
      </c>
      <c r="H104" s="54" t="s">
        <v>202</v>
      </c>
      <c r="K104" s="69"/>
      <c r="M104" s="90"/>
      <c r="N104" s="69"/>
    </row>
    <row r="105" spans="2:14" x14ac:dyDescent="0.2">
      <c r="B105" s="49" t="s">
        <v>130</v>
      </c>
      <c r="C105" s="143">
        <v>0</v>
      </c>
      <c r="D105" s="231"/>
      <c r="E105" s="66" t="s">
        <v>17</v>
      </c>
      <c r="F105" s="66" t="s">
        <v>17</v>
      </c>
      <c r="G105" s="10" t="s">
        <v>18</v>
      </c>
      <c r="H105" s="10" t="s">
        <v>18</v>
      </c>
      <c r="M105" s="90"/>
    </row>
    <row r="106" spans="2:14" x14ac:dyDescent="0.2">
      <c r="B106" s="49" t="s">
        <v>131</v>
      </c>
      <c r="C106" s="143">
        <v>0</v>
      </c>
      <c r="D106" s="231"/>
      <c r="E106" s="66" t="s">
        <v>17</v>
      </c>
      <c r="F106" s="66" t="s">
        <v>17</v>
      </c>
      <c r="G106" s="10" t="s">
        <v>18</v>
      </c>
      <c r="H106" s="10" t="s">
        <v>18</v>
      </c>
      <c r="M106" s="90"/>
    </row>
    <row r="107" spans="2:14" x14ac:dyDescent="0.2">
      <c r="B107" s="49" t="s">
        <v>140</v>
      </c>
      <c r="C107" s="143">
        <v>0</v>
      </c>
      <c r="D107" s="231"/>
      <c r="E107" s="66" t="s">
        <v>17</v>
      </c>
      <c r="F107" s="66" t="s">
        <v>17</v>
      </c>
      <c r="G107" s="66" t="s">
        <v>18</v>
      </c>
      <c r="H107" s="10" t="s">
        <v>18</v>
      </c>
      <c r="M107" s="90"/>
    </row>
    <row r="108" spans="2:14" x14ac:dyDescent="0.2">
      <c r="B108" s="76" t="s">
        <v>141</v>
      </c>
      <c r="C108" s="144">
        <v>0</v>
      </c>
      <c r="D108" s="231"/>
      <c r="E108" s="66" t="s">
        <v>17</v>
      </c>
      <c r="F108" s="66" t="s">
        <v>17</v>
      </c>
      <c r="G108" s="56" t="s">
        <v>18</v>
      </c>
      <c r="H108" s="56" t="s">
        <v>18</v>
      </c>
      <c r="M108" s="90"/>
    </row>
    <row r="109" spans="2:14" x14ac:dyDescent="0.2">
      <c r="B109" s="48" t="s">
        <v>134</v>
      </c>
      <c r="C109" s="67" t="s">
        <v>7</v>
      </c>
      <c r="D109" s="10" t="s">
        <v>153</v>
      </c>
      <c r="E109" s="68"/>
      <c r="F109" s="71"/>
      <c r="G109" s="71"/>
      <c r="H109" s="66"/>
      <c r="I109" s="35"/>
      <c r="K109" s="1"/>
      <c r="M109" s="90"/>
      <c r="N109" s="1"/>
    </row>
    <row r="110" spans="2:14" x14ac:dyDescent="0.2">
      <c r="B110" s="49" t="s">
        <v>132</v>
      </c>
      <c r="C110" s="96">
        <v>0</v>
      </c>
      <c r="D110" s="47">
        <v>9.9999999999999998E+37</v>
      </c>
      <c r="E110" s="66" t="s">
        <v>17</v>
      </c>
      <c r="F110" s="66" t="s">
        <v>17</v>
      </c>
      <c r="G110" s="10" t="s">
        <v>18</v>
      </c>
      <c r="H110" s="66" t="s">
        <v>18</v>
      </c>
      <c r="M110" s="1"/>
    </row>
    <row r="111" spans="2:14" x14ac:dyDescent="0.2">
      <c r="B111" s="49" t="s">
        <v>133</v>
      </c>
      <c r="C111" s="96">
        <v>0</v>
      </c>
      <c r="D111" s="47">
        <v>9.9999999999999998E+37</v>
      </c>
      <c r="E111" s="66" t="s">
        <v>17</v>
      </c>
      <c r="F111" s="66" t="s">
        <v>17</v>
      </c>
      <c r="G111" s="10" t="s">
        <v>18</v>
      </c>
      <c r="H111" s="10" t="s">
        <v>18</v>
      </c>
      <c r="M111" s="1"/>
    </row>
    <row r="112" spans="2:14" x14ac:dyDescent="0.2">
      <c r="B112" s="49" t="s">
        <v>142</v>
      </c>
      <c r="C112" s="96">
        <v>0</v>
      </c>
      <c r="D112" s="47">
        <v>9.9999999999999998E+37</v>
      </c>
      <c r="E112" s="66" t="s">
        <v>17</v>
      </c>
      <c r="F112" s="66" t="s">
        <v>17</v>
      </c>
      <c r="G112" s="10" t="s">
        <v>18</v>
      </c>
      <c r="H112" s="10" t="s">
        <v>18</v>
      </c>
      <c r="M112" s="1"/>
    </row>
    <row r="113" spans="2:14" ht="13.5" thickBot="1" x14ac:dyDescent="0.25">
      <c r="B113" s="78" t="s">
        <v>143</v>
      </c>
      <c r="C113" s="145">
        <v>0</v>
      </c>
      <c r="D113" s="238">
        <v>9.9999999999999998E+37</v>
      </c>
      <c r="E113" s="65" t="s">
        <v>17</v>
      </c>
      <c r="F113" s="237" t="s">
        <v>17</v>
      </c>
      <c r="G113" s="65" t="s">
        <v>18</v>
      </c>
      <c r="H113" s="65" t="s">
        <v>18</v>
      </c>
      <c r="M113" s="1"/>
    </row>
    <row r="114" spans="2:14" x14ac:dyDescent="0.2">
      <c r="B114" s="77" t="s">
        <v>28</v>
      </c>
      <c r="C114" s="74" t="s">
        <v>148</v>
      </c>
      <c r="D114" s="54" t="s">
        <v>153</v>
      </c>
      <c r="E114" s="234"/>
      <c r="F114" s="235"/>
      <c r="G114" s="235"/>
      <c r="H114" s="236"/>
      <c r="K114" s="62"/>
      <c r="L114" s="62"/>
      <c r="M114" s="1"/>
      <c r="N114" s="62"/>
    </row>
    <row r="115" spans="2:14" x14ac:dyDescent="0.2">
      <c r="B115" s="48" t="s">
        <v>144</v>
      </c>
      <c r="C115" s="105">
        <v>0</v>
      </c>
      <c r="D115" s="47">
        <v>9.9999999999999998E+37</v>
      </c>
      <c r="E115" s="66" t="s">
        <v>17</v>
      </c>
      <c r="F115" s="66" t="s">
        <v>17</v>
      </c>
      <c r="G115" s="10" t="s">
        <v>18</v>
      </c>
      <c r="H115" s="68" t="s">
        <v>18</v>
      </c>
      <c r="I115" s="158"/>
      <c r="M115" s="1"/>
    </row>
    <row r="116" spans="2:14" x14ac:dyDescent="0.2">
      <c r="B116" s="48" t="s">
        <v>145</v>
      </c>
      <c r="C116" s="105">
        <v>0</v>
      </c>
      <c r="D116" s="47">
        <v>9.9999999999999998E+37</v>
      </c>
      <c r="E116" s="66" t="s">
        <v>17</v>
      </c>
      <c r="F116" s="66" t="s">
        <v>17</v>
      </c>
      <c r="G116" s="66" t="s">
        <v>18</v>
      </c>
      <c r="H116" s="66" t="s">
        <v>18</v>
      </c>
      <c r="M116" s="1"/>
    </row>
    <row r="117" spans="2:14" x14ac:dyDescent="0.2">
      <c r="B117" s="48" t="s">
        <v>146</v>
      </c>
      <c r="C117" s="105">
        <v>0</v>
      </c>
      <c r="D117" s="47">
        <v>9.9999999999999998E+37</v>
      </c>
      <c r="E117" s="66" t="s">
        <v>17</v>
      </c>
      <c r="F117" s="66" t="s">
        <v>17</v>
      </c>
      <c r="G117" s="10" t="s">
        <v>18</v>
      </c>
      <c r="H117" s="10" t="s">
        <v>18</v>
      </c>
      <c r="M117" s="1"/>
    </row>
    <row r="118" spans="2:14" ht="13.5" thickBot="1" x14ac:dyDescent="0.25">
      <c r="B118" s="80" t="s">
        <v>147</v>
      </c>
      <c r="C118" s="146">
        <v>0</v>
      </c>
      <c r="D118" s="238">
        <v>9.9999999999999998E+37</v>
      </c>
      <c r="E118" s="65" t="s">
        <v>17</v>
      </c>
      <c r="F118" s="237" t="s">
        <v>17</v>
      </c>
      <c r="G118" s="65" t="s">
        <v>18</v>
      </c>
      <c r="H118" s="65" t="s">
        <v>18</v>
      </c>
      <c r="M118" s="1"/>
    </row>
    <row r="119" spans="2:14" x14ac:dyDescent="0.2">
      <c r="B119" s="79" t="s">
        <v>25</v>
      </c>
      <c r="C119" s="74" t="s">
        <v>9</v>
      </c>
      <c r="D119" s="54" t="s">
        <v>183</v>
      </c>
      <c r="E119" s="54" t="s">
        <v>181</v>
      </c>
      <c r="F119" s="54" t="s">
        <v>199</v>
      </c>
      <c r="G119" s="295" t="s">
        <v>200</v>
      </c>
      <c r="H119" s="293"/>
      <c r="I119" s="1"/>
      <c r="J119" s="1"/>
      <c r="K119" s="1"/>
      <c r="L119" s="62"/>
      <c r="M119" s="1"/>
      <c r="N119" s="1"/>
    </row>
    <row r="120" spans="2:14" x14ac:dyDescent="0.2">
      <c r="B120" s="48" t="s">
        <v>149</v>
      </c>
      <c r="C120" s="105">
        <v>0</v>
      </c>
      <c r="D120" s="147">
        <v>0</v>
      </c>
      <c r="E120" s="96">
        <v>0</v>
      </c>
      <c r="F120" s="66" t="s">
        <v>17</v>
      </c>
      <c r="G120" s="296" t="s">
        <v>17</v>
      </c>
      <c r="H120" s="294"/>
      <c r="I120" s="1"/>
      <c r="J120" s="1"/>
      <c r="K120" s="1"/>
      <c r="M120" s="1"/>
      <c r="N120" s="1"/>
    </row>
    <row r="121" spans="2:14" x14ac:dyDescent="0.2">
      <c r="B121" s="48" t="s">
        <v>150</v>
      </c>
      <c r="C121" s="105">
        <v>0</v>
      </c>
      <c r="D121" s="147">
        <v>0</v>
      </c>
      <c r="E121" s="96">
        <v>0</v>
      </c>
      <c r="F121" s="10" t="s">
        <v>17</v>
      </c>
      <c r="G121" s="296" t="s">
        <v>17</v>
      </c>
      <c r="H121" s="294"/>
      <c r="I121" s="1"/>
      <c r="J121" s="1"/>
      <c r="K121" s="1"/>
      <c r="M121" s="1"/>
      <c r="N121" s="1"/>
    </row>
    <row r="122" spans="2:14" x14ac:dyDescent="0.2">
      <c r="B122" s="48" t="s">
        <v>151</v>
      </c>
      <c r="C122" s="105">
        <v>0</v>
      </c>
      <c r="D122" s="147">
        <v>0</v>
      </c>
      <c r="E122" s="96">
        <v>0</v>
      </c>
      <c r="F122" s="66" t="s">
        <v>17</v>
      </c>
      <c r="G122" s="296" t="s">
        <v>17</v>
      </c>
      <c r="H122" s="294"/>
      <c r="I122" s="1"/>
      <c r="J122" s="1"/>
      <c r="K122" s="1"/>
      <c r="L122" s="1"/>
      <c r="M122" s="1"/>
      <c r="N122" s="1"/>
    </row>
    <row r="123" spans="2:14" x14ac:dyDescent="0.2">
      <c r="B123" s="48" t="s">
        <v>152</v>
      </c>
      <c r="C123" s="105">
        <v>0</v>
      </c>
      <c r="D123" s="147">
        <v>0</v>
      </c>
      <c r="E123" s="96">
        <v>0</v>
      </c>
      <c r="F123" s="66" t="s">
        <v>17</v>
      </c>
      <c r="G123" s="296" t="s">
        <v>17</v>
      </c>
      <c r="H123" s="62"/>
      <c r="L123" s="1"/>
    </row>
    <row r="124" spans="2:14" x14ac:dyDescent="0.2">
      <c r="B124" s="22"/>
      <c r="C124" s="63"/>
      <c r="D124" s="32"/>
      <c r="E124" s="34"/>
      <c r="F124" s="62"/>
      <c r="G124" s="62"/>
      <c r="H124" s="62"/>
      <c r="L124" s="1"/>
    </row>
    <row r="125" spans="2:14" x14ac:dyDescent="0.2">
      <c r="B125" s="5" t="s">
        <v>155</v>
      </c>
      <c r="C125" s="7"/>
      <c r="D125" s="7"/>
      <c r="E125" s="7"/>
      <c r="F125" s="7"/>
      <c r="G125" s="6"/>
      <c r="H125" s="35"/>
    </row>
    <row r="126" spans="2:14" ht="12.75" customHeight="1" x14ac:dyDescent="0.2">
      <c r="B126" s="37" t="s">
        <v>154</v>
      </c>
      <c r="C126" s="67" t="s">
        <v>184</v>
      </c>
      <c r="D126" s="67" t="s">
        <v>205</v>
      </c>
      <c r="E126" s="67" t="s">
        <v>206</v>
      </c>
      <c r="F126" s="67" t="s">
        <v>203</v>
      </c>
      <c r="G126" s="67" t="s">
        <v>204</v>
      </c>
      <c r="H126" s="35"/>
      <c r="I126" s="72"/>
    </row>
    <row r="127" spans="2:14" x14ac:dyDescent="0.2">
      <c r="B127" s="48" t="s">
        <v>30</v>
      </c>
      <c r="C127" s="96">
        <v>90</v>
      </c>
      <c r="D127" s="66" t="s">
        <v>17</v>
      </c>
      <c r="E127" s="66" t="s">
        <v>17</v>
      </c>
      <c r="F127" s="66" t="s">
        <v>17</v>
      </c>
      <c r="G127" s="66" t="s">
        <v>17</v>
      </c>
      <c r="H127" s="1"/>
    </row>
    <row r="128" spans="2:14" ht="12.75" customHeight="1" x14ac:dyDescent="0.2">
      <c r="B128" s="48" t="s">
        <v>31</v>
      </c>
      <c r="C128" s="96">
        <v>1.5</v>
      </c>
      <c r="D128" s="66" t="s">
        <v>17</v>
      </c>
      <c r="E128" s="10" t="s">
        <v>17</v>
      </c>
      <c r="F128" s="10" t="s">
        <v>18</v>
      </c>
      <c r="G128" s="10" t="s">
        <v>18</v>
      </c>
      <c r="H128" s="1"/>
    </row>
    <row r="129" spans="2:43" x14ac:dyDescent="0.2">
      <c r="B129" s="48" t="s">
        <v>32</v>
      </c>
      <c r="C129" s="96">
        <v>0</v>
      </c>
      <c r="D129" s="66" t="s">
        <v>18</v>
      </c>
      <c r="E129" s="10" t="s">
        <v>18</v>
      </c>
      <c r="F129" s="10" t="s">
        <v>18</v>
      </c>
      <c r="G129" s="10" t="s">
        <v>18</v>
      </c>
      <c r="H129" s="1"/>
    </row>
    <row r="130" spans="2:43" x14ac:dyDescent="0.2">
      <c r="B130" s="48" t="s">
        <v>33</v>
      </c>
      <c r="C130" s="96">
        <v>2.5</v>
      </c>
      <c r="D130" s="10" t="s">
        <v>18</v>
      </c>
      <c r="E130" s="10" t="s">
        <v>18</v>
      </c>
      <c r="F130" s="10" t="s">
        <v>18</v>
      </c>
      <c r="G130" s="10" t="s">
        <v>18</v>
      </c>
      <c r="H130" s="1"/>
    </row>
    <row r="131" spans="2:43" x14ac:dyDescent="0.2">
      <c r="B131" s="48" t="s">
        <v>34</v>
      </c>
      <c r="C131" s="96">
        <v>3</v>
      </c>
      <c r="D131" s="10" t="s">
        <v>18</v>
      </c>
      <c r="E131" s="10" t="s">
        <v>18</v>
      </c>
      <c r="F131" s="10" t="s">
        <v>18</v>
      </c>
      <c r="G131" s="10" t="s">
        <v>18</v>
      </c>
      <c r="H131" s="1"/>
    </row>
    <row r="132" spans="2:43" x14ac:dyDescent="0.2">
      <c r="B132" s="48" t="s">
        <v>35</v>
      </c>
      <c r="C132" s="96">
        <v>0</v>
      </c>
      <c r="D132" s="56" t="s">
        <v>18</v>
      </c>
      <c r="E132" s="56" t="s">
        <v>18</v>
      </c>
      <c r="F132" s="56" t="s">
        <v>18</v>
      </c>
      <c r="G132" s="56" t="s">
        <v>18</v>
      </c>
      <c r="H132" s="1"/>
    </row>
    <row r="133" spans="2:43" x14ac:dyDescent="0.2">
      <c r="B133" s="48" t="s">
        <v>243</v>
      </c>
      <c r="C133" s="259">
        <v>0</v>
      </c>
      <c r="D133" s="56" t="s">
        <v>18</v>
      </c>
      <c r="E133" s="56" t="s">
        <v>18</v>
      </c>
      <c r="F133" s="10" t="s">
        <v>18</v>
      </c>
      <c r="G133" s="10" t="s">
        <v>18</v>
      </c>
      <c r="H133" s="1"/>
    </row>
    <row r="134" spans="2:43" ht="12" customHeight="1" x14ac:dyDescent="0.2">
      <c r="B134" s="48" t="s">
        <v>168</v>
      </c>
      <c r="C134" s="150">
        <f>100-C135</f>
        <v>3</v>
      </c>
      <c r="D134" s="197">
        <v>0</v>
      </c>
      <c r="E134" s="197">
        <v>0</v>
      </c>
      <c r="F134" s="196"/>
      <c r="G134" s="196"/>
      <c r="H134" s="1"/>
    </row>
    <row r="135" spans="2:43" x14ac:dyDescent="0.2">
      <c r="B135" s="48" t="s">
        <v>13</v>
      </c>
      <c r="C135" s="150">
        <f>SUM(C127:C133)</f>
        <v>97</v>
      </c>
      <c r="D135" s="158"/>
      <c r="G135" s="27"/>
      <c r="H135" s="1"/>
    </row>
    <row r="136" spans="2:43" x14ac:dyDescent="0.2">
      <c r="E136" s="73"/>
    </row>
    <row r="137" spans="2:43" x14ac:dyDescent="0.2">
      <c r="B137" s="5" t="s">
        <v>216</v>
      </c>
      <c r="C137" s="314">
        <v>0</v>
      </c>
      <c r="D137" s="314">
        <f>C137+1</f>
        <v>1</v>
      </c>
      <c r="E137" s="314">
        <f>D137+1</f>
        <v>2</v>
      </c>
      <c r="F137" s="314">
        <f t="shared" ref="F137:AQ137" si="1">E137+1</f>
        <v>3</v>
      </c>
      <c r="G137" s="314">
        <f>F137+1</f>
        <v>4</v>
      </c>
      <c r="H137" s="314">
        <f t="shared" si="1"/>
        <v>5</v>
      </c>
      <c r="I137" s="314">
        <f t="shared" si="1"/>
        <v>6</v>
      </c>
      <c r="J137" s="314">
        <f t="shared" si="1"/>
        <v>7</v>
      </c>
      <c r="K137" s="314">
        <f t="shared" si="1"/>
        <v>8</v>
      </c>
      <c r="L137" s="314">
        <f t="shared" si="1"/>
        <v>9</v>
      </c>
      <c r="M137" s="314">
        <f t="shared" si="1"/>
        <v>10</v>
      </c>
      <c r="N137" s="314">
        <f t="shared" si="1"/>
        <v>11</v>
      </c>
      <c r="O137" s="314">
        <f t="shared" si="1"/>
        <v>12</v>
      </c>
      <c r="P137" s="314">
        <f t="shared" si="1"/>
        <v>13</v>
      </c>
      <c r="Q137" s="314">
        <f t="shared" si="1"/>
        <v>14</v>
      </c>
      <c r="R137" s="314">
        <f t="shared" si="1"/>
        <v>15</v>
      </c>
      <c r="S137" s="314">
        <f t="shared" si="1"/>
        <v>16</v>
      </c>
      <c r="T137" s="314">
        <f t="shared" si="1"/>
        <v>17</v>
      </c>
      <c r="U137" s="314">
        <f t="shared" si="1"/>
        <v>18</v>
      </c>
      <c r="V137" s="314">
        <f t="shared" si="1"/>
        <v>19</v>
      </c>
      <c r="W137" s="314">
        <f t="shared" si="1"/>
        <v>20</v>
      </c>
      <c r="X137" s="314">
        <f t="shared" si="1"/>
        <v>21</v>
      </c>
      <c r="Y137" s="314">
        <f t="shared" si="1"/>
        <v>22</v>
      </c>
      <c r="Z137" s="314">
        <f t="shared" si="1"/>
        <v>23</v>
      </c>
      <c r="AA137" s="314">
        <f t="shared" si="1"/>
        <v>24</v>
      </c>
      <c r="AB137" s="314">
        <f t="shared" si="1"/>
        <v>25</v>
      </c>
      <c r="AC137" s="314">
        <f t="shared" si="1"/>
        <v>26</v>
      </c>
      <c r="AD137" s="314">
        <f t="shared" si="1"/>
        <v>27</v>
      </c>
      <c r="AE137" s="314">
        <f t="shared" si="1"/>
        <v>28</v>
      </c>
      <c r="AF137" s="314">
        <f t="shared" si="1"/>
        <v>29</v>
      </c>
      <c r="AG137" s="314">
        <f t="shared" si="1"/>
        <v>30</v>
      </c>
      <c r="AH137" s="314">
        <f t="shared" si="1"/>
        <v>31</v>
      </c>
      <c r="AI137" s="314">
        <f t="shared" si="1"/>
        <v>32</v>
      </c>
      <c r="AJ137" s="314">
        <f t="shared" si="1"/>
        <v>33</v>
      </c>
      <c r="AK137" s="314">
        <f t="shared" si="1"/>
        <v>34</v>
      </c>
      <c r="AL137" s="314">
        <f t="shared" si="1"/>
        <v>35</v>
      </c>
      <c r="AM137" s="314">
        <f t="shared" si="1"/>
        <v>36</v>
      </c>
      <c r="AN137" s="314">
        <f t="shared" si="1"/>
        <v>37</v>
      </c>
      <c r="AO137" s="314">
        <f t="shared" si="1"/>
        <v>38</v>
      </c>
      <c r="AP137" s="314">
        <f t="shared" si="1"/>
        <v>39</v>
      </c>
      <c r="AQ137" s="315">
        <f t="shared" si="1"/>
        <v>40</v>
      </c>
    </row>
    <row r="138" spans="2:43" x14ac:dyDescent="0.2">
      <c r="B138" s="308" t="s">
        <v>370</v>
      </c>
      <c r="C138" s="309"/>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10"/>
    </row>
    <row r="139" spans="2:43" x14ac:dyDescent="0.2">
      <c r="B139" s="307" t="s">
        <v>371</v>
      </c>
      <c r="C139" s="311">
        <v>0</v>
      </c>
      <c r="D139" s="311">
        <v>211907000</v>
      </c>
      <c r="E139" s="311">
        <v>210848000</v>
      </c>
      <c r="F139" s="311">
        <v>209794000</v>
      </c>
      <c r="G139" s="311">
        <v>208745000</v>
      </c>
      <c r="H139" s="311">
        <v>207701000</v>
      </c>
      <c r="I139" s="311">
        <v>206662000</v>
      </c>
      <c r="J139" s="311">
        <v>205629000</v>
      </c>
      <c r="K139" s="311">
        <v>204601000</v>
      </c>
      <c r="L139" s="311">
        <v>203578000</v>
      </c>
      <c r="M139" s="311">
        <v>202560000</v>
      </c>
      <c r="N139" s="311">
        <v>201547000</v>
      </c>
      <c r="O139" s="311">
        <v>200540000</v>
      </c>
      <c r="P139" s="311">
        <v>199537000</v>
      </c>
      <c r="Q139" s="311">
        <v>198539000</v>
      </c>
      <c r="R139" s="311">
        <v>197547000</v>
      </c>
      <c r="S139" s="311">
        <v>196559000</v>
      </c>
      <c r="T139" s="311">
        <v>195576000</v>
      </c>
      <c r="U139" s="311">
        <v>194598000</v>
      </c>
      <c r="V139" s="311">
        <v>193625000</v>
      </c>
      <c r="W139" s="311">
        <v>192657000</v>
      </c>
      <c r="X139" s="311">
        <v>191694000</v>
      </c>
      <c r="Y139" s="311">
        <v>190735000</v>
      </c>
      <c r="Z139" s="311">
        <v>189782000</v>
      </c>
      <c r="AA139" s="311">
        <v>188833000</v>
      </c>
      <c r="AB139" s="311">
        <v>187888000</v>
      </c>
      <c r="AC139" s="311"/>
      <c r="AD139" s="311"/>
      <c r="AE139" s="311"/>
      <c r="AF139" s="311"/>
      <c r="AG139" s="311"/>
      <c r="AH139" s="311"/>
      <c r="AI139" s="311"/>
      <c r="AJ139" s="311"/>
      <c r="AK139" s="311"/>
      <c r="AL139" s="311"/>
      <c r="AM139" s="311"/>
      <c r="AN139" s="311"/>
      <c r="AO139" s="311"/>
      <c r="AP139" s="311"/>
      <c r="AQ139" s="311"/>
    </row>
    <row r="140" spans="2:43" x14ac:dyDescent="0.2">
      <c r="B140" s="305" t="s">
        <v>372</v>
      </c>
      <c r="C140" s="311">
        <v>0</v>
      </c>
      <c r="D140" s="311">
        <v>0</v>
      </c>
      <c r="E140" s="311">
        <v>0</v>
      </c>
      <c r="F140" s="311">
        <v>0</v>
      </c>
      <c r="G140" s="311">
        <v>0</v>
      </c>
      <c r="H140" s="311">
        <v>0</v>
      </c>
      <c r="I140" s="311">
        <v>0</v>
      </c>
      <c r="J140" s="311">
        <v>0</v>
      </c>
      <c r="K140" s="311">
        <v>0</v>
      </c>
      <c r="L140" s="311">
        <v>0</v>
      </c>
      <c r="M140" s="311">
        <v>0</v>
      </c>
      <c r="N140" s="311">
        <v>0</v>
      </c>
      <c r="O140" s="311">
        <v>0</v>
      </c>
      <c r="P140" s="311">
        <v>0</v>
      </c>
      <c r="Q140" s="311">
        <v>0</v>
      </c>
      <c r="R140" s="311">
        <v>0</v>
      </c>
      <c r="S140" s="311">
        <v>0</v>
      </c>
      <c r="T140" s="311">
        <v>0</v>
      </c>
      <c r="U140" s="311">
        <v>0</v>
      </c>
      <c r="V140" s="311">
        <v>0</v>
      </c>
      <c r="W140" s="311">
        <v>0</v>
      </c>
      <c r="X140" s="311">
        <v>0</v>
      </c>
      <c r="Y140" s="311">
        <v>0</v>
      </c>
      <c r="Z140" s="311">
        <v>0</v>
      </c>
      <c r="AA140" s="311">
        <v>0</v>
      </c>
      <c r="AB140" s="311">
        <v>0</v>
      </c>
      <c r="AC140" s="311"/>
      <c r="AD140" s="311"/>
      <c r="AE140" s="311"/>
      <c r="AF140" s="311"/>
      <c r="AG140" s="311"/>
      <c r="AH140" s="311"/>
      <c r="AI140" s="311"/>
      <c r="AJ140" s="311"/>
      <c r="AK140" s="311"/>
      <c r="AL140" s="311"/>
      <c r="AM140" s="311"/>
      <c r="AN140" s="311"/>
      <c r="AO140" s="311"/>
      <c r="AP140" s="311"/>
      <c r="AQ140" s="311"/>
    </row>
    <row r="141" spans="2:43" x14ac:dyDescent="0.2">
      <c r="B141" s="305" t="s">
        <v>373</v>
      </c>
      <c r="C141" s="311">
        <v>0</v>
      </c>
      <c r="D141" s="311">
        <v>211907000</v>
      </c>
      <c r="E141" s="311">
        <v>210848000</v>
      </c>
      <c r="F141" s="311">
        <v>209794000</v>
      </c>
      <c r="G141" s="311">
        <v>208745000</v>
      </c>
      <c r="H141" s="311">
        <v>207701000</v>
      </c>
      <c r="I141" s="311">
        <v>206662000</v>
      </c>
      <c r="J141" s="311">
        <v>205629000</v>
      </c>
      <c r="K141" s="311">
        <v>204601000</v>
      </c>
      <c r="L141" s="311">
        <v>203578000</v>
      </c>
      <c r="M141" s="311">
        <v>202560000</v>
      </c>
      <c r="N141" s="311">
        <v>201547000</v>
      </c>
      <c r="O141" s="311">
        <v>200540000</v>
      </c>
      <c r="P141" s="311">
        <v>199537000</v>
      </c>
      <c r="Q141" s="311">
        <v>198539000</v>
      </c>
      <c r="R141" s="311">
        <v>197547000</v>
      </c>
      <c r="S141" s="311">
        <v>196559000</v>
      </c>
      <c r="T141" s="311">
        <v>195576000</v>
      </c>
      <c r="U141" s="311">
        <v>194598000</v>
      </c>
      <c r="V141" s="311">
        <v>193625000</v>
      </c>
      <c r="W141" s="311">
        <v>192657000</v>
      </c>
      <c r="X141" s="311">
        <v>191694000</v>
      </c>
      <c r="Y141" s="311">
        <v>190735000</v>
      </c>
      <c r="Z141" s="311">
        <v>189782000</v>
      </c>
      <c r="AA141" s="311">
        <v>188833000</v>
      </c>
      <c r="AB141" s="311">
        <v>187888000</v>
      </c>
      <c r="AC141" s="311"/>
      <c r="AD141" s="311"/>
      <c r="AE141" s="311"/>
      <c r="AF141" s="311"/>
      <c r="AG141" s="311"/>
      <c r="AH141" s="311"/>
      <c r="AI141" s="311"/>
      <c r="AJ141" s="311"/>
      <c r="AK141" s="311"/>
      <c r="AL141" s="311"/>
      <c r="AM141" s="311"/>
      <c r="AN141" s="311"/>
      <c r="AO141" s="311"/>
      <c r="AP141" s="311"/>
      <c r="AQ141" s="311"/>
    </row>
    <row r="142" spans="2:43" x14ac:dyDescent="0.2">
      <c r="B142" s="305" t="s">
        <v>374</v>
      </c>
      <c r="C142" s="311"/>
      <c r="D142" s="311"/>
      <c r="E142" s="311"/>
      <c r="F142" s="311"/>
      <c r="G142" s="311"/>
      <c r="H142" s="311"/>
      <c r="I142" s="311"/>
      <c r="J142" s="311"/>
      <c r="K142" s="311"/>
      <c r="L142" s="311"/>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1"/>
      <c r="AJ142" s="311"/>
      <c r="AK142" s="311"/>
      <c r="AL142" s="311"/>
      <c r="AM142" s="311"/>
      <c r="AN142" s="311"/>
      <c r="AO142" s="311"/>
      <c r="AP142" s="311"/>
      <c r="AQ142" s="311"/>
    </row>
    <row r="143" spans="2:43" x14ac:dyDescent="0.2">
      <c r="B143" s="305" t="s">
        <v>375</v>
      </c>
      <c r="C143" s="311"/>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c r="AA143" s="311"/>
      <c r="AB143" s="311"/>
      <c r="AC143" s="311"/>
      <c r="AD143" s="311"/>
      <c r="AE143" s="311"/>
      <c r="AF143" s="311"/>
      <c r="AG143" s="311"/>
      <c r="AH143" s="311"/>
      <c r="AI143" s="311"/>
      <c r="AJ143" s="311"/>
      <c r="AK143" s="311"/>
      <c r="AL143" s="311"/>
      <c r="AM143" s="311"/>
      <c r="AN143" s="311"/>
      <c r="AO143" s="311"/>
      <c r="AP143" s="311"/>
      <c r="AQ143" s="311"/>
    </row>
    <row r="144" spans="2:43" ht="13.5" customHeight="1" x14ac:dyDescent="0.2">
      <c r="B144" s="305" t="s">
        <v>376</v>
      </c>
      <c r="C144" s="311"/>
      <c r="D144" s="311"/>
      <c r="E144" s="311"/>
      <c r="F144" s="311"/>
      <c r="G144" s="311"/>
      <c r="H144" s="311"/>
      <c r="I144" s="311"/>
      <c r="J144" s="311"/>
      <c r="K144" s="311"/>
      <c r="L144" s="311"/>
      <c r="M144" s="311"/>
      <c r="N144" s="311"/>
      <c r="O144" s="311"/>
      <c r="P144" s="311"/>
      <c r="Q144" s="311"/>
      <c r="R144" s="311"/>
      <c r="S144" s="311"/>
      <c r="T144" s="311"/>
      <c r="U144" s="311"/>
      <c r="V144" s="311"/>
      <c r="W144" s="311"/>
      <c r="X144" s="311"/>
      <c r="Y144" s="311"/>
      <c r="Z144" s="311"/>
      <c r="AA144" s="311"/>
      <c r="AB144" s="311"/>
      <c r="AC144" s="311"/>
      <c r="AD144" s="311"/>
      <c r="AE144" s="311"/>
      <c r="AF144" s="311"/>
      <c r="AG144" s="311"/>
      <c r="AH144" s="311"/>
      <c r="AI144" s="311"/>
      <c r="AJ144" s="311"/>
      <c r="AK144" s="311"/>
      <c r="AL144" s="311"/>
      <c r="AM144" s="311"/>
      <c r="AN144" s="311"/>
      <c r="AO144" s="311"/>
      <c r="AP144" s="311"/>
      <c r="AQ144" s="311"/>
    </row>
    <row r="145" spans="2:43" ht="13.5" customHeight="1" x14ac:dyDescent="0.2">
      <c r="B145" s="308" t="s">
        <v>377</v>
      </c>
      <c r="C145" s="309"/>
      <c r="D145" s="309"/>
      <c r="E145" s="309"/>
      <c r="F145" s="309"/>
      <c r="G145" s="309"/>
      <c r="H145" s="309"/>
      <c r="I145" s="309"/>
      <c r="J145" s="309"/>
      <c r="K145" s="309"/>
      <c r="L145" s="309"/>
      <c r="M145" s="309"/>
      <c r="N145" s="309"/>
      <c r="O145" s="309"/>
      <c r="P145" s="309"/>
      <c r="Q145" s="309"/>
      <c r="R145" s="309"/>
      <c r="S145" s="309"/>
      <c r="T145" s="309"/>
      <c r="U145" s="309"/>
      <c r="V145" s="309"/>
      <c r="W145" s="309"/>
      <c r="X145" s="309"/>
      <c r="Y145" s="309"/>
      <c r="Z145" s="309"/>
      <c r="AA145" s="309"/>
      <c r="AB145" s="309"/>
      <c r="AC145" s="309"/>
      <c r="AD145" s="309"/>
      <c r="AE145" s="309"/>
      <c r="AF145" s="309"/>
      <c r="AG145" s="309"/>
      <c r="AH145" s="309"/>
      <c r="AI145" s="309"/>
      <c r="AJ145" s="309"/>
      <c r="AK145" s="309"/>
      <c r="AL145" s="309"/>
      <c r="AM145" s="309"/>
      <c r="AN145" s="309"/>
      <c r="AO145" s="309"/>
      <c r="AP145" s="309"/>
      <c r="AQ145" s="310"/>
    </row>
    <row r="146" spans="2:43" ht="13.5" customHeight="1" x14ac:dyDescent="0.2">
      <c r="B146" s="312" t="s">
        <v>378</v>
      </c>
      <c r="C146" s="311">
        <v>0</v>
      </c>
      <c r="D146" s="311">
        <v>4</v>
      </c>
      <c r="E146" s="311">
        <v>4.04</v>
      </c>
      <c r="F146" s="311">
        <v>4.0804</v>
      </c>
      <c r="G146" s="311">
        <v>4.1212</v>
      </c>
      <c r="H146" s="311">
        <v>4.16242</v>
      </c>
      <c r="I146" s="311">
        <v>4.20404</v>
      </c>
      <c r="J146" s="311">
        <v>4.2460800000000001</v>
      </c>
      <c r="K146" s="311">
        <v>4.2885400000000002</v>
      </c>
      <c r="L146" s="311">
        <v>4.3314300000000001</v>
      </c>
      <c r="M146" s="311">
        <v>4.3747400000000001</v>
      </c>
      <c r="N146" s="311">
        <v>4.4184900000000003</v>
      </c>
      <c r="O146" s="311">
        <v>4.4626700000000001</v>
      </c>
      <c r="P146" s="311">
        <v>4.5072999999999999</v>
      </c>
      <c r="Q146" s="311">
        <v>4.5523699999999998</v>
      </c>
      <c r="R146" s="311">
        <v>4.5979000000000001</v>
      </c>
      <c r="S146" s="311">
        <v>4.6438800000000002</v>
      </c>
      <c r="T146" s="311">
        <v>4.6903100000000002</v>
      </c>
      <c r="U146" s="311">
        <v>4.7372199999999998</v>
      </c>
      <c r="V146" s="311">
        <v>4.7845899999999997</v>
      </c>
      <c r="W146" s="311">
        <v>4.8324400000000001</v>
      </c>
      <c r="X146" s="311">
        <v>4.8807600000000004</v>
      </c>
      <c r="Y146" s="311">
        <v>4.92957</v>
      </c>
      <c r="Z146" s="311">
        <v>4.9788600000000001</v>
      </c>
      <c r="AA146" s="311">
        <v>5.0286499999999998</v>
      </c>
      <c r="AB146" s="311">
        <v>5.0789400000000002</v>
      </c>
      <c r="AC146" s="311"/>
      <c r="AD146" s="311"/>
      <c r="AE146" s="311"/>
      <c r="AF146" s="311"/>
      <c r="AG146" s="311"/>
      <c r="AH146" s="311"/>
      <c r="AI146" s="311"/>
      <c r="AJ146" s="311"/>
      <c r="AK146" s="311"/>
      <c r="AL146" s="311"/>
      <c r="AM146" s="311"/>
      <c r="AN146" s="311"/>
      <c r="AO146" s="311"/>
      <c r="AP146" s="311"/>
      <c r="AQ146" s="311"/>
    </row>
    <row r="147" spans="2:43" ht="13.5" customHeight="1" x14ac:dyDescent="0.2">
      <c r="B147" s="306" t="s">
        <v>379</v>
      </c>
      <c r="C147" s="311">
        <v>0</v>
      </c>
      <c r="D147" s="311">
        <v>8476300</v>
      </c>
      <c r="E147" s="311">
        <v>8518260</v>
      </c>
      <c r="F147" s="311">
        <v>8560420</v>
      </c>
      <c r="G147" s="311">
        <v>8602800</v>
      </c>
      <c r="H147" s="311">
        <v>8645380</v>
      </c>
      <c r="I147" s="311">
        <v>8688170</v>
      </c>
      <c r="J147" s="311">
        <v>8731180</v>
      </c>
      <c r="K147" s="311">
        <v>8774400</v>
      </c>
      <c r="L147" s="311">
        <v>8817830</v>
      </c>
      <c r="M147" s="311">
        <v>8861480</v>
      </c>
      <c r="N147" s="311">
        <v>8905350</v>
      </c>
      <c r="O147" s="311">
        <v>8949430</v>
      </c>
      <c r="P147" s="311">
        <v>8993730</v>
      </c>
      <c r="Q147" s="311">
        <v>9038250</v>
      </c>
      <c r="R147" s="311">
        <v>9082980</v>
      </c>
      <c r="S147" s="311">
        <v>9127950</v>
      </c>
      <c r="T147" s="311">
        <v>9173130</v>
      </c>
      <c r="U147" s="311">
        <v>9218540</v>
      </c>
      <c r="V147" s="311">
        <v>9264170</v>
      </c>
      <c r="W147" s="311">
        <v>9310030</v>
      </c>
      <c r="X147" s="311">
        <v>9356110</v>
      </c>
      <c r="Y147" s="311">
        <v>9402420</v>
      </c>
      <c r="Z147" s="311">
        <v>9448960</v>
      </c>
      <c r="AA147" s="311">
        <v>9495740</v>
      </c>
      <c r="AB147" s="311">
        <v>9542740</v>
      </c>
      <c r="AC147" s="311"/>
      <c r="AD147" s="311"/>
      <c r="AE147" s="311"/>
      <c r="AF147" s="311"/>
      <c r="AG147" s="311"/>
      <c r="AH147" s="311"/>
      <c r="AI147" s="311"/>
      <c r="AJ147" s="311"/>
      <c r="AK147" s="311"/>
      <c r="AL147" s="311"/>
      <c r="AM147" s="311"/>
      <c r="AN147" s="311"/>
      <c r="AO147" s="311"/>
      <c r="AP147" s="311"/>
      <c r="AQ147" s="311"/>
    </row>
    <row r="148" spans="2:43" ht="13.5" customHeight="1" x14ac:dyDescent="0.2">
      <c r="B148" s="306" t="s">
        <v>380</v>
      </c>
      <c r="C148" s="311"/>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row>
    <row r="149" spans="2:43" ht="13.5" customHeight="1" x14ac:dyDescent="0.2">
      <c r="B149" s="306" t="s">
        <v>381</v>
      </c>
      <c r="C149" s="311"/>
      <c r="D149" s="311"/>
      <c r="E149" s="311"/>
      <c r="F149" s="311"/>
      <c r="G149" s="311"/>
      <c r="H149" s="311"/>
      <c r="I149" s="311"/>
      <c r="J149" s="311"/>
      <c r="K149" s="311"/>
      <c r="L149" s="311"/>
      <c r="M149" s="311"/>
      <c r="N149" s="311"/>
      <c r="O149" s="311"/>
      <c r="P149" s="311"/>
      <c r="Q149" s="311"/>
      <c r="R149" s="311"/>
      <c r="S149" s="311"/>
      <c r="T149" s="311"/>
      <c r="U149" s="311"/>
      <c r="V149" s="311"/>
      <c r="W149" s="311"/>
      <c r="X149" s="311"/>
      <c r="Y149" s="311"/>
      <c r="Z149" s="311"/>
      <c r="AA149" s="311"/>
      <c r="AB149" s="311"/>
      <c r="AC149" s="311"/>
      <c r="AD149" s="311"/>
      <c r="AE149" s="311"/>
      <c r="AF149" s="311"/>
      <c r="AG149" s="311"/>
      <c r="AH149" s="311"/>
      <c r="AI149" s="311"/>
      <c r="AJ149" s="311"/>
      <c r="AK149" s="311"/>
      <c r="AL149" s="311"/>
      <c r="AM149" s="311"/>
      <c r="AN149" s="311"/>
      <c r="AO149" s="311"/>
      <c r="AP149" s="311"/>
      <c r="AQ149" s="311"/>
    </row>
    <row r="150" spans="2:43" ht="13.5" customHeight="1" x14ac:dyDescent="0.2">
      <c r="B150" s="306" t="s">
        <v>428</v>
      </c>
      <c r="C150" s="311"/>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c r="AA150" s="311"/>
      <c r="AB150" s="311"/>
      <c r="AC150" s="311"/>
      <c r="AD150" s="311"/>
      <c r="AE150" s="311"/>
      <c r="AF150" s="311"/>
      <c r="AG150" s="311"/>
      <c r="AH150" s="311"/>
      <c r="AI150" s="311"/>
      <c r="AJ150" s="311"/>
      <c r="AK150" s="311"/>
      <c r="AL150" s="311"/>
      <c r="AM150" s="311"/>
      <c r="AN150" s="311"/>
      <c r="AO150" s="311"/>
      <c r="AP150" s="311"/>
      <c r="AQ150" s="311"/>
    </row>
    <row r="151" spans="2:43" ht="13.5" customHeight="1" x14ac:dyDescent="0.2">
      <c r="B151" s="251" t="s">
        <v>217</v>
      </c>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c r="AP151" s="254"/>
      <c r="AQ151" s="255"/>
    </row>
    <row r="152" spans="2:43" ht="13.5" customHeight="1" x14ac:dyDescent="0.2">
      <c r="B152" s="75" t="s">
        <v>191</v>
      </c>
      <c r="C152" s="252"/>
      <c r="D152" s="253"/>
      <c r="E152" s="253"/>
      <c r="F152" s="253"/>
      <c r="G152" s="253"/>
      <c r="H152" s="253"/>
      <c r="I152" s="253"/>
      <c r="J152" s="253"/>
      <c r="K152" s="253"/>
      <c r="L152" s="253"/>
      <c r="M152" s="253"/>
      <c r="N152" s="253"/>
      <c r="O152" s="253"/>
      <c r="P152" s="253"/>
      <c r="Q152" s="253"/>
      <c r="R152" s="253"/>
      <c r="S152" s="253"/>
      <c r="T152" s="253"/>
      <c r="U152" s="253"/>
      <c r="V152" s="253"/>
      <c r="W152" s="253"/>
      <c r="X152" s="253"/>
      <c r="Y152" s="253"/>
      <c r="Z152" s="253"/>
      <c r="AA152" s="253"/>
      <c r="AB152" s="253"/>
      <c r="AC152" s="253"/>
      <c r="AD152" s="253"/>
      <c r="AE152" s="253"/>
      <c r="AF152" s="253"/>
      <c r="AG152" s="253"/>
      <c r="AH152" s="253"/>
      <c r="AI152" s="253"/>
      <c r="AJ152" s="253"/>
      <c r="AK152" s="253"/>
      <c r="AL152" s="253"/>
      <c r="AM152" s="253"/>
      <c r="AN152" s="253"/>
      <c r="AO152" s="253"/>
      <c r="AP152" s="253"/>
      <c r="AQ152" s="253"/>
    </row>
    <row r="153" spans="2:43" x14ac:dyDescent="0.2">
      <c r="B153" s="48" t="s">
        <v>12</v>
      </c>
      <c r="C153" s="249"/>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row>
    <row r="154" spans="2:43" ht="12" customHeight="1" x14ac:dyDescent="0.2">
      <c r="B154" s="256" t="s">
        <v>15</v>
      </c>
      <c r="C154" s="257"/>
      <c r="D154" s="258"/>
      <c r="E154" s="258"/>
      <c r="F154" s="258"/>
      <c r="G154" s="258"/>
      <c r="H154" s="258"/>
      <c r="I154" s="258"/>
      <c r="J154" s="258"/>
      <c r="K154" s="258"/>
      <c r="L154" s="258"/>
      <c r="M154" s="258"/>
      <c r="N154" s="258"/>
      <c r="O154" s="258"/>
      <c r="P154" s="258"/>
      <c r="Q154" s="258"/>
      <c r="R154" s="258"/>
      <c r="S154" s="258"/>
      <c r="T154" s="258"/>
      <c r="U154" s="258"/>
      <c r="V154" s="258"/>
      <c r="W154" s="258"/>
      <c r="X154" s="258"/>
      <c r="Y154" s="258"/>
      <c r="Z154" s="258"/>
      <c r="AA154" s="258"/>
      <c r="AB154" s="258"/>
      <c r="AC154" s="258"/>
      <c r="AD154" s="258"/>
      <c r="AE154" s="258"/>
      <c r="AF154" s="258"/>
      <c r="AG154" s="258"/>
      <c r="AH154" s="258"/>
      <c r="AI154" s="258"/>
      <c r="AJ154" s="258"/>
      <c r="AK154" s="258"/>
      <c r="AL154" s="258"/>
      <c r="AM154" s="258"/>
      <c r="AN154" s="258"/>
      <c r="AO154" s="258"/>
      <c r="AP154" s="258"/>
      <c r="AQ154" s="258"/>
    </row>
    <row r="155" spans="2:43" ht="12" customHeight="1" x14ac:dyDescent="0.2">
      <c r="B155" s="251" t="s">
        <v>222</v>
      </c>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54"/>
      <c r="AH155" s="254"/>
      <c r="AI155" s="254"/>
      <c r="AJ155" s="254"/>
      <c r="AK155" s="254"/>
      <c r="AL155" s="254"/>
      <c r="AM155" s="254"/>
      <c r="AN155" s="254"/>
      <c r="AO155" s="254"/>
      <c r="AP155" s="254"/>
      <c r="AQ155" s="255"/>
    </row>
    <row r="156" spans="2:43" ht="12" customHeight="1" x14ac:dyDescent="0.2">
      <c r="B156" s="75" t="s">
        <v>90</v>
      </c>
      <c r="C156" s="258">
        <v>0</v>
      </c>
      <c r="D156" s="258">
        <v>7</v>
      </c>
      <c r="E156" s="253">
        <v>7</v>
      </c>
      <c r="F156" s="253">
        <v>7</v>
      </c>
      <c r="G156" s="253">
        <v>7</v>
      </c>
      <c r="H156" s="253">
        <v>7</v>
      </c>
      <c r="I156" s="253">
        <v>7</v>
      </c>
      <c r="J156" s="253">
        <v>7</v>
      </c>
      <c r="K156" s="253">
        <v>7</v>
      </c>
      <c r="L156" s="253">
        <v>7</v>
      </c>
      <c r="M156" s="253">
        <v>7</v>
      </c>
      <c r="N156" s="253">
        <v>7</v>
      </c>
      <c r="O156" s="253">
        <v>7</v>
      </c>
      <c r="P156" s="253">
        <v>7</v>
      </c>
      <c r="Q156" s="253">
        <v>7</v>
      </c>
      <c r="R156" s="253">
        <v>7</v>
      </c>
      <c r="S156" s="253">
        <v>7</v>
      </c>
      <c r="T156" s="253">
        <v>7</v>
      </c>
      <c r="U156" s="253">
        <v>7</v>
      </c>
      <c r="V156" s="253">
        <v>7</v>
      </c>
      <c r="W156" s="253">
        <v>7</v>
      </c>
      <c r="X156" s="253">
        <v>7</v>
      </c>
      <c r="Y156" s="253">
        <v>7</v>
      </c>
      <c r="Z156" s="253">
        <v>7</v>
      </c>
      <c r="AA156" s="253">
        <v>7</v>
      </c>
      <c r="AB156" s="253">
        <v>7</v>
      </c>
      <c r="AC156" s="253"/>
      <c r="AD156" s="253"/>
      <c r="AE156" s="253"/>
      <c r="AF156" s="253"/>
      <c r="AG156" s="253"/>
      <c r="AH156" s="253"/>
      <c r="AI156" s="253"/>
      <c r="AJ156" s="253"/>
      <c r="AK156" s="253"/>
      <c r="AL156" s="253"/>
      <c r="AM156" s="253"/>
      <c r="AN156" s="253"/>
      <c r="AO156" s="253"/>
      <c r="AP156" s="253"/>
      <c r="AQ156" s="253"/>
    </row>
    <row r="157" spans="2:43" ht="12" customHeight="1" x14ac:dyDescent="0.2">
      <c r="B157" s="256" t="s">
        <v>89</v>
      </c>
      <c r="C157" s="258">
        <v>0</v>
      </c>
      <c r="D157" s="258">
        <v>21</v>
      </c>
      <c r="E157" s="258">
        <v>21</v>
      </c>
      <c r="F157" s="258">
        <v>21</v>
      </c>
      <c r="G157" s="258">
        <v>21</v>
      </c>
      <c r="H157" s="258">
        <v>21</v>
      </c>
      <c r="I157" s="258">
        <v>21</v>
      </c>
      <c r="J157" s="258">
        <v>21</v>
      </c>
      <c r="K157" s="258">
        <v>21</v>
      </c>
      <c r="L157" s="258">
        <v>21</v>
      </c>
      <c r="M157" s="258">
        <v>21</v>
      </c>
      <c r="N157" s="258">
        <v>21</v>
      </c>
      <c r="O157" s="258">
        <v>21</v>
      </c>
      <c r="P157" s="258">
        <v>21</v>
      </c>
      <c r="Q157" s="258">
        <v>21</v>
      </c>
      <c r="R157" s="258">
        <v>21</v>
      </c>
      <c r="S157" s="258">
        <v>21</v>
      </c>
      <c r="T157" s="258">
        <v>21</v>
      </c>
      <c r="U157" s="258">
        <v>21</v>
      </c>
      <c r="V157" s="258">
        <v>21</v>
      </c>
      <c r="W157" s="258">
        <v>21</v>
      </c>
      <c r="X157" s="258">
        <v>21</v>
      </c>
      <c r="Y157" s="258">
        <v>21</v>
      </c>
      <c r="Z157" s="258">
        <v>21</v>
      </c>
      <c r="AA157" s="258">
        <v>21</v>
      </c>
      <c r="AB157" s="258">
        <v>21</v>
      </c>
      <c r="AC157" s="258"/>
      <c r="AD157" s="258"/>
      <c r="AE157" s="258"/>
      <c r="AF157" s="258"/>
      <c r="AG157" s="258"/>
      <c r="AH157" s="258"/>
      <c r="AI157" s="258"/>
      <c r="AJ157" s="258"/>
      <c r="AK157" s="258"/>
      <c r="AL157" s="258"/>
      <c r="AM157" s="258"/>
      <c r="AN157" s="258"/>
      <c r="AO157" s="258"/>
      <c r="AP157" s="258"/>
      <c r="AQ157" s="258"/>
    </row>
    <row r="158" spans="2:43" ht="12" customHeight="1" x14ac:dyDescent="0.2">
      <c r="B158" s="251" t="s">
        <v>431</v>
      </c>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1"/>
    </row>
    <row r="159" spans="2:43" ht="12" customHeight="1" x14ac:dyDescent="0.2">
      <c r="B159" s="351" t="s">
        <v>432</v>
      </c>
      <c r="C159" s="252"/>
      <c r="D159" s="253">
        <v>0</v>
      </c>
      <c r="E159" s="253">
        <v>0</v>
      </c>
      <c r="F159" s="253">
        <v>0</v>
      </c>
      <c r="G159" s="253">
        <v>0</v>
      </c>
      <c r="H159" s="253">
        <v>0</v>
      </c>
      <c r="I159" s="253">
        <v>0</v>
      </c>
      <c r="J159" s="253">
        <v>0</v>
      </c>
      <c r="K159" s="253">
        <v>0</v>
      </c>
      <c r="L159" s="253">
        <v>0</v>
      </c>
      <c r="M159" s="253">
        <v>0</v>
      </c>
      <c r="N159" s="253">
        <v>0</v>
      </c>
      <c r="O159" s="253">
        <v>0</v>
      </c>
      <c r="P159" s="253">
        <v>0</v>
      </c>
      <c r="Q159" s="253">
        <v>0</v>
      </c>
      <c r="R159" s="253">
        <v>0</v>
      </c>
      <c r="S159" s="253">
        <v>0</v>
      </c>
      <c r="T159" s="253">
        <v>0</v>
      </c>
      <c r="U159" s="253">
        <v>0</v>
      </c>
      <c r="V159" s="253">
        <v>0</v>
      </c>
      <c r="W159" s="253">
        <v>0</v>
      </c>
      <c r="X159" s="253">
        <v>0</v>
      </c>
      <c r="Y159" s="253">
        <v>0</v>
      </c>
      <c r="Z159" s="253">
        <v>0</v>
      </c>
      <c r="AA159" s="253">
        <v>0</v>
      </c>
      <c r="AB159" s="253">
        <v>0</v>
      </c>
      <c r="AC159" s="253"/>
      <c r="AD159" s="253"/>
      <c r="AE159" s="253"/>
      <c r="AF159" s="253"/>
      <c r="AG159" s="253"/>
      <c r="AH159" s="253"/>
      <c r="AI159" s="253"/>
      <c r="AJ159" s="253"/>
      <c r="AK159" s="253"/>
      <c r="AL159" s="253"/>
      <c r="AM159" s="253"/>
      <c r="AN159" s="253"/>
      <c r="AO159" s="253"/>
      <c r="AP159" s="253"/>
      <c r="AQ159" s="253"/>
    </row>
    <row r="160" spans="2:43" ht="12" customHeight="1" x14ac:dyDescent="0.2">
      <c r="B160" s="331" t="s">
        <v>433</v>
      </c>
      <c r="C160" s="252"/>
      <c r="D160" s="253">
        <v>0</v>
      </c>
      <c r="E160" s="253">
        <v>0</v>
      </c>
      <c r="F160" s="253">
        <v>0</v>
      </c>
      <c r="G160" s="253">
        <v>0</v>
      </c>
      <c r="H160" s="253">
        <v>0</v>
      </c>
      <c r="I160" s="253">
        <v>0</v>
      </c>
      <c r="J160" s="253">
        <v>0</v>
      </c>
      <c r="K160" s="253">
        <v>0</v>
      </c>
      <c r="L160" s="253">
        <v>0</v>
      </c>
      <c r="M160" s="253">
        <v>0</v>
      </c>
      <c r="N160" s="253">
        <v>0</v>
      </c>
      <c r="O160" s="253">
        <v>0</v>
      </c>
      <c r="P160" s="253">
        <v>0</v>
      </c>
      <c r="Q160" s="253">
        <v>0</v>
      </c>
      <c r="R160" s="253">
        <v>0</v>
      </c>
      <c r="S160" s="253">
        <v>0</v>
      </c>
      <c r="T160" s="253">
        <v>0</v>
      </c>
      <c r="U160" s="253">
        <v>0</v>
      </c>
      <c r="V160" s="253">
        <v>0</v>
      </c>
      <c r="W160" s="253">
        <v>0</v>
      </c>
      <c r="X160" s="253">
        <v>0</v>
      </c>
      <c r="Y160" s="253">
        <v>0</v>
      </c>
      <c r="Z160" s="253">
        <v>0</v>
      </c>
      <c r="AA160" s="253">
        <v>0</v>
      </c>
      <c r="AB160" s="253">
        <v>0</v>
      </c>
      <c r="AC160" s="253"/>
      <c r="AD160" s="253"/>
      <c r="AE160" s="253"/>
      <c r="AF160" s="253"/>
      <c r="AG160" s="253"/>
      <c r="AH160" s="253"/>
      <c r="AI160" s="253"/>
      <c r="AJ160" s="253"/>
      <c r="AK160" s="253"/>
      <c r="AL160" s="253"/>
      <c r="AM160" s="253"/>
      <c r="AN160" s="253"/>
      <c r="AO160" s="253"/>
      <c r="AP160" s="253"/>
      <c r="AQ160" s="253"/>
    </row>
    <row r="161" spans="2:103" ht="12" customHeight="1" x14ac:dyDescent="0.2">
      <c r="B161" s="331" t="s">
        <v>434</v>
      </c>
      <c r="C161" s="252"/>
      <c r="D161" s="253">
        <v>30</v>
      </c>
      <c r="E161" s="253">
        <v>0</v>
      </c>
      <c r="F161" s="253">
        <v>0</v>
      </c>
      <c r="G161" s="253">
        <v>0</v>
      </c>
      <c r="H161" s="253">
        <v>0</v>
      </c>
      <c r="I161" s="253">
        <v>0</v>
      </c>
      <c r="J161" s="253">
        <v>0</v>
      </c>
      <c r="K161" s="253">
        <v>0</v>
      </c>
      <c r="L161" s="253">
        <v>0</v>
      </c>
      <c r="M161" s="253">
        <v>0</v>
      </c>
      <c r="N161" s="253">
        <v>0</v>
      </c>
      <c r="O161" s="253">
        <v>0</v>
      </c>
      <c r="P161" s="253">
        <v>0</v>
      </c>
      <c r="Q161" s="253">
        <v>0</v>
      </c>
      <c r="R161" s="253">
        <v>0</v>
      </c>
      <c r="S161" s="253">
        <v>0</v>
      </c>
      <c r="T161" s="253">
        <v>0</v>
      </c>
      <c r="U161" s="253">
        <v>0</v>
      </c>
      <c r="V161" s="253">
        <v>0</v>
      </c>
      <c r="W161" s="253">
        <v>0</v>
      </c>
      <c r="X161" s="253">
        <v>0</v>
      </c>
      <c r="Y161" s="253">
        <v>0</v>
      </c>
      <c r="Z161" s="253">
        <v>0</v>
      </c>
      <c r="AA161" s="253">
        <v>0</v>
      </c>
      <c r="AB161" s="253">
        <v>0</v>
      </c>
      <c r="AC161" s="253"/>
      <c r="AD161" s="253"/>
      <c r="AE161" s="253"/>
      <c r="AF161" s="253"/>
      <c r="AG161" s="253"/>
      <c r="AH161" s="253"/>
      <c r="AI161" s="253"/>
      <c r="AJ161" s="253"/>
      <c r="AK161" s="253"/>
      <c r="AL161" s="253"/>
      <c r="AM161" s="253"/>
      <c r="AN161" s="253"/>
      <c r="AO161" s="253"/>
      <c r="AP161" s="253"/>
      <c r="AQ161" s="253"/>
    </row>
    <row r="162" spans="2:103" ht="12" customHeight="1" x14ac:dyDescent="0.2">
      <c r="B162" s="331" t="s">
        <v>435</v>
      </c>
      <c r="C162" s="353"/>
      <c r="D162" s="354">
        <v>9.9999999999999998E+37</v>
      </c>
      <c r="E162" s="354">
        <v>9.9999999999999998E+37</v>
      </c>
      <c r="F162" s="354">
        <v>9.9999999999999998E+37</v>
      </c>
      <c r="G162" s="354">
        <v>9.9999999999999998E+37</v>
      </c>
      <c r="H162" s="354">
        <v>9.9999999999999998E+37</v>
      </c>
      <c r="I162" s="354">
        <v>9.9999999999999998E+37</v>
      </c>
      <c r="J162" s="354">
        <v>9.9999999999999998E+37</v>
      </c>
      <c r="K162" s="354">
        <v>9.9999999999999998E+37</v>
      </c>
      <c r="L162" s="354">
        <v>9.9999999999999998E+37</v>
      </c>
      <c r="M162" s="354">
        <v>9.9999999999999998E+37</v>
      </c>
      <c r="N162" s="354">
        <v>9.9999999999999998E+37</v>
      </c>
      <c r="O162" s="354">
        <v>9.9999999999999998E+37</v>
      </c>
      <c r="P162" s="354">
        <v>9.9999999999999998E+37</v>
      </c>
      <c r="Q162" s="354">
        <v>9.9999999999999998E+37</v>
      </c>
      <c r="R162" s="354">
        <v>9.9999999999999998E+37</v>
      </c>
      <c r="S162" s="354">
        <v>9.9999999999999998E+37</v>
      </c>
      <c r="T162" s="354">
        <v>9.9999999999999998E+37</v>
      </c>
      <c r="U162" s="354">
        <v>9.9999999999999998E+37</v>
      </c>
      <c r="V162" s="354">
        <v>9.9999999999999998E+37</v>
      </c>
      <c r="W162" s="354">
        <v>9.9999999999999998E+37</v>
      </c>
      <c r="X162" s="354">
        <v>9.9999999999999998E+37</v>
      </c>
      <c r="Y162" s="354">
        <v>9.9999999999999998E+37</v>
      </c>
      <c r="Z162" s="354">
        <v>9.9999999999999998E+37</v>
      </c>
      <c r="AA162" s="354">
        <v>9.9999999999999998E+37</v>
      </c>
      <c r="AB162" s="354">
        <v>9.9999999999999998E+37</v>
      </c>
      <c r="AC162" s="354"/>
      <c r="AD162" s="354"/>
      <c r="AE162" s="354"/>
      <c r="AF162" s="354"/>
      <c r="AG162" s="354"/>
      <c r="AH162" s="354"/>
      <c r="AI162" s="354"/>
      <c r="AJ162" s="354"/>
      <c r="AK162" s="354"/>
      <c r="AL162" s="354"/>
      <c r="AM162" s="354"/>
      <c r="AN162" s="354"/>
      <c r="AO162" s="354"/>
      <c r="AP162" s="354"/>
      <c r="AQ162" s="354"/>
    </row>
    <row r="163" spans="2:103" ht="12" customHeight="1" x14ac:dyDescent="0.2">
      <c r="B163" s="331" t="s">
        <v>436</v>
      </c>
      <c r="C163" s="252"/>
      <c r="D163" s="253">
        <v>0</v>
      </c>
      <c r="E163" s="253">
        <v>0</v>
      </c>
      <c r="F163" s="253">
        <v>0</v>
      </c>
      <c r="G163" s="253">
        <v>0</v>
      </c>
      <c r="H163" s="253">
        <v>0</v>
      </c>
      <c r="I163" s="253">
        <v>0</v>
      </c>
      <c r="J163" s="253">
        <v>0</v>
      </c>
      <c r="K163" s="253">
        <v>0</v>
      </c>
      <c r="L163" s="253">
        <v>0</v>
      </c>
      <c r="M163" s="253">
        <v>0</v>
      </c>
      <c r="N163" s="253">
        <v>0</v>
      </c>
      <c r="O163" s="253">
        <v>0</v>
      </c>
      <c r="P163" s="253">
        <v>0</v>
      </c>
      <c r="Q163" s="253">
        <v>0</v>
      </c>
      <c r="R163" s="253">
        <v>0</v>
      </c>
      <c r="S163" s="253">
        <v>0</v>
      </c>
      <c r="T163" s="253">
        <v>0</v>
      </c>
      <c r="U163" s="253">
        <v>0</v>
      </c>
      <c r="V163" s="253">
        <v>0</v>
      </c>
      <c r="W163" s="253">
        <v>0</v>
      </c>
      <c r="X163" s="253">
        <v>0</v>
      </c>
      <c r="Y163" s="253">
        <v>0</v>
      </c>
      <c r="Z163" s="253">
        <v>0</v>
      </c>
      <c r="AA163" s="253">
        <v>0</v>
      </c>
      <c r="AB163" s="253">
        <v>0</v>
      </c>
      <c r="AC163" s="253"/>
      <c r="AD163" s="253"/>
      <c r="AE163" s="253"/>
      <c r="AF163" s="253"/>
      <c r="AG163" s="253"/>
      <c r="AH163" s="253"/>
      <c r="AI163" s="253"/>
      <c r="AJ163" s="253"/>
      <c r="AK163" s="253"/>
      <c r="AL163" s="253"/>
      <c r="AM163" s="253"/>
      <c r="AN163" s="253"/>
      <c r="AO163" s="253"/>
      <c r="AP163" s="253"/>
      <c r="AQ163" s="253"/>
    </row>
    <row r="164" spans="2:103" ht="12" customHeight="1" x14ac:dyDescent="0.2">
      <c r="B164" s="331" t="s">
        <v>437</v>
      </c>
      <c r="C164" s="353"/>
      <c r="D164" s="354">
        <v>9.9999999999999998E+37</v>
      </c>
      <c r="E164" s="354">
        <v>9.9999999999999998E+37</v>
      </c>
      <c r="F164" s="354">
        <v>9.9999999999999998E+37</v>
      </c>
      <c r="G164" s="354">
        <v>9.9999999999999998E+37</v>
      </c>
      <c r="H164" s="354">
        <v>9.9999999999999998E+37</v>
      </c>
      <c r="I164" s="354">
        <v>9.9999999999999998E+37</v>
      </c>
      <c r="J164" s="354">
        <v>9.9999999999999998E+37</v>
      </c>
      <c r="K164" s="354">
        <v>9.9999999999999998E+37</v>
      </c>
      <c r="L164" s="354">
        <v>9.9999999999999998E+37</v>
      </c>
      <c r="M164" s="354">
        <v>9.9999999999999998E+37</v>
      </c>
      <c r="N164" s="354">
        <v>9.9999999999999998E+37</v>
      </c>
      <c r="O164" s="354">
        <v>9.9999999999999998E+37</v>
      </c>
      <c r="P164" s="354">
        <v>9.9999999999999998E+37</v>
      </c>
      <c r="Q164" s="354">
        <v>9.9999999999999998E+37</v>
      </c>
      <c r="R164" s="354">
        <v>9.9999999999999998E+37</v>
      </c>
      <c r="S164" s="354">
        <v>9.9999999999999998E+37</v>
      </c>
      <c r="T164" s="354">
        <v>9.9999999999999998E+37</v>
      </c>
      <c r="U164" s="354">
        <v>9.9999999999999998E+37</v>
      </c>
      <c r="V164" s="354">
        <v>9.9999999999999998E+37</v>
      </c>
      <c r="W164" s="354">
        <v>9.9999999999999998E+37</v>
      </c>
      <c r="X164" s="354">
        <v>9.9999999999999998E+37</v>
      </c>
      <c r="Y164" s="354">
        <v>9.9999999999999998E+37</v>
      </c>
      <c r="Z164" s="354">
        <v>9.9999999999999998E+37</v>
      </c>
      <c r="AA164" s="354">
        <v>9.9999999999999998E+37</v>
      </c>
      <c r="AB164" s="354">
        <v>9.9999999999999998E+37</v>
      </c>
      <c r="AC164" s="354"/>
      <c r="AD164" s="354"/>
      <c r="AE164" s="354"/>
      <c r="AF164" s="354"/>
      <c r="AG164" s="354"/>
      <c r="AH164" s="354"/>
      <c r="AI164" s="354"/>
      <c r="AJ164" s="354"/>
      <c r="AK164" s="354"/>
      <c r="AL164" s="354"/>
      <c r="AM164" s="354"/>
      <c r="AN164" s="354"/>
      <c r="AO164" s="354"/>
      <c r="AP164" s="354"/>
      <c r="AQ164" s="354"/>
    </row>
    <row r="165" spans="2:103" x14ac:dyDescent="0.2">
      <c r="B165" s="251" t="s">
        <v>218</v>
      </c>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54"/>
      <c r="AH165" s="254"/>
      <c r="AI165" s="254"/>
      <c r="AJ165" s="254"/>
      <c r="AK165" s="254"/>
      <c r="AL165" s="254"/>
      <c r="AM165" s="254"/>
      <c r="AN165" s="254"/>
      <c r="AO165" s="254"/>
      <c r="AP165" s="254"/>
      <c r="AQ165" s="255"/>
    </row>
    <row r="166" spans="2:103" x14ac:dyDescent="0.2">
      <c r="B166" s="75" t="s">
        <v>4</v>
      </c>
      <c r="C166" s="252"/>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c r="AH166" s="253"/>
      <c r="AI166" s="253"/>
      <c r="AJ166" s="253"/>
      <c r="AK166" s="253"/>
      <c r="AL166" s="253"/>
      <c r="AM166" s="253"/>
      <c r="AN166" s="253"/>
      <c r="AO166" s="253"/>
      <c r="AP166" s="253"/>
      <c r="AQ166" s="253"/>
    </row>
    <row r="167" spans="2:103" x14ac:dyDescent="0.2">
      <c r="B167" s="48" t="s">
        <v>5</v>
      </c>
      <c r="C167" s="249"/>
      <c r="D167" s="250"/>
      <c r="E167" s="250"/>
      <c r="F167" s="250"/>
      <c r="G167" s="250"/>
      <c r="H167" s="250"/>
      <c r="I167" s="250"/>
      <c r="J167" s="250"/>
      <c r="K167" s="250"/>
      <c r="L167" s="250"/>
      <c r="M167" s="250"/>
      <c r="N167" s="250"/>
      <c r="O167" s="250"/>
      <c r="P167" s="250"/>
      <c r="Q167" s="250"/>
      <c r="R167" s="250"/>
      <c r="S167" s="250"/>
      <c r="T167" s="250"/>
      <c r="U167" s="250"/>
      <c r="V167" s="250"/>
      <c r="W167" s="250"/>
      <c r="X167" s="250"/>
      <c r="Y167" s="250"/>
      <c r="Z167" s="250"/>
      <c r="AA167" s="250"/>
      <c r="AB167" s="250"/>
      <c r="AC167" s="250"/>
      <c r="AD167" s="250"/>
      <c r="AE167" s="250"/>
      <c r="AF167" s="250"/>
      <c r="AG167" s="250"/>
      <c r="AH167" s="250"/>
      <c r="AI167" s="250"/>
      <c r="AJ167" s="250"/>
      <c r="AK167" s="250"/>
      <c r="AL167" s="250"/>
      <c r="AM167" s="250"/>
      <c r="AN167" s="250"/>
      <c r="AO167" s="250"/>
      <c r="AP167" s="250"/>
      <c r="AQ167" s="250"/>
    </row>
    <row r="168" spans="2:103" x14ac:dyDescent="0.2">
      <c r="B168" s="48" t="s">
        <v>162</v>
      </c>
      <c r="C168" s="249"/>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row>
    <row r="169" spans="2:103" x14ac:dyDescent="0.2">
      <c r="B169" s="256" t="s">
        <v>163</v>
      </c>
      <c r="C169" s="257"/>
      <c r="D169" s="258"/>
      <c r="E169" s="258"/>
      <c r="F169" s="258"/>
      <c r="G169" s="258"/>
      <c r="H169" s="258"/>
      <c r="I169" s="258"/>
      <c r="J169" s="258"/>
      <c r="K169" s="258"/>
      <c r="L169" s="258"/>
      <c r="M169" s="258"/>
      <c r="N169" s="258"/>
      <c r="O169" s="258"/>
      <c r="P169" s="258"/>
      <c r="Q169" s="258"/>
      <c r="R169" s="258"/>
      <c r="S169" s="258"/>
      <c r="T169" s="258"/>
      <c r="U169" s="258"/>
      <c r="V169" s="258"/>
      <c r="W169" s="258"/>
      <c r="X169" s="258"/>
      <c r="Y169" s="258"/>
      <c r="Z169" s="258"/>
      <c r="AA169" s="258"/>
      <c r="AB169" s="258"/>
      <c r="AC169" s="258"/>
      <c r="AD169" s="258"/>
      <c r="AE169" s="258"/>
      <c r="AF169" s="258"/>
      <c r="AG169" s="258"/>
      <c r="AH169" s="258"/>
      <c r="AI169" s="258"/>
      <c r="AJ169" s="258"/>
      <c r="AK169" s="258"/>
      <c r="AL169" s="258"/>
      <c r="AM169" s="258"/>
      <c r="AN169" s="258"/>
      <c r="AO169" s="258"/>
      <c r="AP169" s="258"/>
      <c r="AQ169" s="258"/>
    </row>
    <row r="170" spans="2:103" x14ac:dyDescent="0.2">
      <c r="B170" s="251" t="s">
        <v>219</v>
      </c>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c r="AK170" s="254"/>
      <c r="AL170" s="254"/>
      <c r="AM170" s="254"/>
      <c r="AN170" s="254"/>
      <c r="AO170" s="254"/>
      <c r="AP170" s="254"/>
      <c r="AQ170" s="255"/>
    </row>
    <row r="171" spans="2:103" x14ac:dyDescent="0.2">
      <c r="B171" s="75" t="s">
        <v>4</v>
      </c>
      <c r="C171" s="252"/>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c r="AB171" s="253"/>
      <c r="AC171" s="253"/>
      <c r="AD171" s="253"/>
      <c r="AE171" s="253"/>
      <c r="AF171" s="253"/>
      <c r="AG171" s="253"/>
      <c r="AH171" s="253"/>
      <c r="AI171" s="253"/>
      <c r="AJ171" s="253"/>
      <c r="AK171" s="253"/>
      <c r="AL171" s="253"/>
      <c r="AM171" s="253"/>
      <c r="AN171" s="253"/>
      <c r="AO171" s="253"/>
      <c r="AP171" s="253"/>
      <c r="AQ171" s="253"/>
    </row>
    <row r="172" spans="2:103" x14ac:dyDescent="0.2">
      <c r="B172" s="48" t="s">
        <v>5</v>
      </c>
      <c r="C172" s="249"/>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c r="AA172" s="250"/>
      <c r="AB172" s="250"/>
      <c r="AC172" s="250"/>
      <c r="AD172" s="250"/>
      <c r="AE172" s="250"/>
      <c r="AF172" s="250"/>
      <c r="AG172" s="250"/>
      <c r="AH172" s="250"/>
      <c r="AI172" s="250"/>
      <c r="AJ172" s="250"/>
      <c r="AK172" s="250"/>
      <c r="AL172" s="250"/>
      <c r="AM172" s="250"/>
      <c r="AN172" s="250"/>
      <c r="AO172" s="250"/>
      <c r="AP172" s="250"/>
      <c r="AQ172" s="250"/>
    </row>
    <row r="173" spans="2:103" x14ac:dyDescent="0.2">
      <c r="B173" s="263" t="s">
        <v>241</v>
      </c>
      <c r="C173" s="26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265"/>
    </row>
    <row r="174" spans="2:103" x14ac:dyDescent="0.2">
      <c r="B174" s="318" t="s">
        <v>242</v>
      </c>
      <c r="C174" s="319">
        <v>0</v>
      </c>
      <c r="D174" s="258">
        <v>0</v>
      </c>
      <c r="E174" s="258">
        <v>0</v>
      </c>
      <c r="F174" s="258">
        <v>0</v>
      </c>
      <c r="G174" s="258">
        <v>0</v>
      </c>
      <c r="H174" s="258">
        <v>0</v>
      </c>
      <c r="I174" s="258">
        <v>0</v>
      </c>
      <c r="J174" s="258">
        <v>0</v>
      </c>
      <c r="K174" s="258">
        <v>0</v>
      </c>
      <c r="L174" s="258">
        <v>0</v>
      </c>
      <c r="M174" s="258">
        <v>0</v>
      </c>
      <c r="N174" s="258">
        <v>0</v>
      </c>
      <c r="O174" s="258">
        <v>0</v>
      </c>
      <c r="P174" s="258">
        <v>0</v>
      </c>
      <c r="Q174" s="258">
        <v>0</v>
      </c>
      <c r="R174" s="258">
        <v>0</v>
      </c>
      <c r="S174" s="258">
        <v>0</v>
      </c>
      <c r="T174" s="258">
        <v>0</v>
      </c>
      <c r="U174" s="258">
        <v>0</v>
      </c>
      <c r="V174" s="258">
        <v>0</v>
      </c>
      <c r="W174" s="258">
        <v>0</v>
      </c>
      <c r="X174" s="258">
        <v>0</v>
      </c>
      <c r="Y174" s="258">
        <v>0</v>
      </c>
      <c r="Z174" s="258">
        <v>0</v>
      </c>
      <c r="AA174" s="258">
        <v>0</v>
      </c>
      <c r="AB174" s="258">
        <v>0</v>
      </c>
      <c r="AC174" s="258"/>
      <c r="AD174" s="258"/>
      <c r="AE174" s="258"/>
      <c r="AF174" s="258"/>
      <c r="AG174" s="258"/>
      <c r="AH174" s="258"/>
      <c r="AI174" s="258"/>
      <c r="AJ174" s="258"/>
      <c r="AK174" s="258"/>
      <c r="AL174" s="258"/>
      <c r="AM174" s="258"/>
      <c r="AN174" s="258"/>
      <c r="AO174" s="258"/>
      <c r="AP174" s="258"/>
      <c r="AQ174" s="258"/>
    </row>
    <row r="175" spans="2:103" x14ac:dyDescent="0.2">
      <c r="B175" s="316" t="s">
        <v>392</v>
      </c>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c r="AA175" s="320"/>
      <c r="AB175" s="320"/>
      <c r="AC175" s="320"/>
      <c r="AD175" s="320"/>
      <c r="AE175" s="320"/>
      <c r="AF175" s="320"/>
      <c r="AG175" s="320"/>
      <c r="AH175" s="320"/>
      <c r="AI175" s="320"/>
      <c r="AJ175" s="320"/>
      <c r="AK175" s="320"/>
      <c r="AL175" s="320"/>
      <c r="AM175" s="320"/>
      <c r="AN175" s="320"/>
      <c r="AO175" s="320"/>
      <c r="AP175" s="320"/>
      <c r="AQ175" s="32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row>
    <row r="176" spans="2:103" x14ac:dyDescent="0.2">
      <c r="B176" s="317" t="s">
        <v>393</v>
      </c>
      <c r="C176" s="324"/>
      <c r="D176" s="325"/>
      <c r="E176" s="325"/>
      <c r="F176" s="325"/>
      <c r="G176" s="325"/>
      <c r="H176" s="325"/>
      <c r="I176" s="325"/>
      <c r="J176" s="325"/>
      <c r="K176" s="325"/>
      <c r="L176" s="325"/>
      <c r="M176" s="325"/>
      <c r="N176" s="325"/>
      <c r="O176" s="325"/>
      <c r="P176" s="325"/>
      <c r="Q176" s="325"/>
      <c r="R176" s="325"/>
      <c r="S176" s="325"/>
      <c r="T176" s="325"/>
      <c r="U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row>
    <row r="177" spans="2:103" x14ac:dyDescent="0.2">
      <c r="B177" s="266" t="s">
        <v>394</v>
      </c>
      <c r="C177" s="324"/>
      <c r="D177" s="325"/>
      <c r="E177" s="325"/>
      <c r="F177" s="325"/>
      <c r="G177" s="325"/>
      <c r="H177" s="325"/>
      <c r="I177" s="325"/>
      <c r="J177" s="325"/>
      <c r="K177" s="325"/>
      <c r="L177" s="325"/>
      <c r="M177" s="325"/>
      <c r="N177" s="325"/>
      <c r="O177" s="325"/>
      <c r="P177" s="325"/>
      <c r="Q177" s="325"/>
      <c r="R177" s="325"/>
      <c r="S177" s="325"/>
      <c r="T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row>
    <row r="178" spans="2:103" x14ac:dyDescent="0.2">
      <c r="B178" s="266" t="s">
        <v>395</v>
      </c>
      <c r="C178" s="311"/>
      <c r="D178" s="325"/>
      <c r="E178" s="325"/>
      <c r="F178" s="325"/>
      <c r="G178" s="325"/>
      <c r="H178" s="325"/>
      <c r="I178" s="325"/>
      <c r="J178" s="325"/>
      <c r="K178" s="325"/>
      <c r="L178" s="325"/>
      <c r="M178" s="325"/>
      <c r="N178" s="325"/>
      <c r="O178" s="325"/>
      <c r="P178" s="325"/>
      <c r="Q178" s="325"/>
      <c r="R178" s="325"/>
      <c r="S178" s="325"/>
      <c r="T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row>
    <row r="179" spans="2:103" x14ac:dyDescent="0.2">
      <c r="B179" s="318" t="s">
        <v>239</v>
      </c>
      <c r="C179" s="326"/>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row>
    <row r="180" spans="2:103" x14ac:dyDescent="0.2">
      <c r="B180" s="316" t="s">
        <v>396</v>
      </c>
      <c r="C180" s="328"/>
      <c r="D180" s="329"/>
      <c r="E180" s="329"/>
      <c r="F180" s="329"/>
      <c r="G180" s="329"/>
      <c r="H180" s="329"/>
      <c r="I180" s="329"/>
      <c r="J180" s="329"/>
      <c r="K180" s="329"/>
      <c r="L180" s="329"/>
      <c r="M180" s="329"/>
      <c r="N180" s="329"/>
      <c r="O180" s="329"/>
      <c r="P180" s="329"/>
      <c r="Q180" s="329"/>
      <c r="R180" s="329"/>
      <c r="S180" s="329"/>
      <c r="T180" s="329"/>
      <c r="U180" s="329"/>
      <c r="V180" s="329"/>
      <c r="W180" s="329"/>
      <c r="X180" s="329"/>
      <c r="Y180" s="329"/>
      <c r="Z180" s="329"/>
      <c r="AA180" s="329"/>
      <c r="AB180" s="329"/>
      <c r="AC180" s="329"/>
      <c r="AD180" s="329"/>
      <c r="AE180" s="329"/>
      <c r="AF180" s="329"/>
      <c r="AG180" s="329"/>
      <c r="AH180" s="329"/>
      <c r="AI180" s="329"/>
      <c r="AJ180" s="329"/>
      <c r="AK180" s="329"/>
      <c r="AL180" s="329"/>
      <c r="AM180" s="329"/>
      <c r="AN180" s="329"/>
      <c r="AO180" s="329"/>
      <c r="AP180" s="329"/>
      <c r="AQ180" s="330"/>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row>
    <row r="181" spans="2:103" x14ac:dyDescent="0.2">
      <c r="B181" s="317" t="s">
        <v>397</v>
      </c>
      <c r="C181" s="324"/>
      <c r="D181" s="325"/>
      <c r="E181" s="325"/>
      <c r="F181" s="325"/>
      <c r="G181" s="325"/>
      <c r="H181" s="325"/>
      <c r="I181" s="325"/>
      <c r="J181" s="325"/>
      <c r="K181" s="325"/>
      <c r="L181" s="325"/>
      <c r="M181" s="325"/>
      <c r="N181" s="325"/>
      <c r="O181" s="325"/>
      <c r="P181" s="325"/>
      <c r="Q181" s="325"/>
      <c r="R181" s="325"/>
      <c r="S181" s="325"/>
      <c r="T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row>
    <row r="182" spans="2:103" x14ac:dyDescent="0.2">
      <c r="B182" s="266" t="s">
        <v>398</v>
      </c>
      <c r="C182" s="324"/>
      <c r="D182" s="325"/>
      <c r="E182" s="325"/>
      <c r="F182" s="325"/>
      <c r="G182" s="325"/>
      <c r="H182" s="325"/>
      <c r="I182" s="325"/>
      <c r="J182" s="325"/>
      <c r="K182" s="325"/>
      <c r="L182" s="325"/>
      <c r="M182" s="325"/>
      <c r="N182" s="325"/>
      <c r="O182" s="325"/>
      <c r="P182" s="325"/>
      <c r="Q182" s="325"/>
      <c r="R182" s="325"/>
      <c r="S182" s="325"/>
      <c r="T182" s="325"/>
      <c r="U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row>
    <row r="183" spans="2:103" x14ac:dyDescent="0.2">
      <c r="B183" s="266" t="s">
        <v>399</v>
      </c>
      <c r="C183" s="324"/>
      <c r="D183" s="325"/>
      <c r="E183" s="325"/>
      <c r="F183" s="325"/>
      <c r="G183" s="325"/>
      <c r="H183" s="325"/>
      <c r="I183" s="325"/>
      <c r="J183" s="325"/>
      <c r="K183" s="325"/>
      <c r="L183" s="325"/>
      <c r="M183" s="325"/>
      <c r="N183" s="325"/>
      <c r="O183" s="325"/>
      <c r="P183" s="325"/>
      <c r="Q183" s="325"/>
      <c r="R183" s="325"/>
      <c r="S183" s="325"/>
      <c r="T183" s="325"/>
      <c r="U183" s="325"/>
      <c r="V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row>
    <row r="184" spans="2:103" x14ac:dyDescent="0.2">
      <c r="B184" s="266" t="s">
        <v>400</v>
      </c>
      <c r="C184" s="323"/>
      <c r="D184" s="323"/>
      <c r="E184" s="323"/>
      <c r="F184" s="323"/>
      <c r="G184" s="323"/>
      <c r="H184" s="323"/>
      <c r="I184" s="323"/>
      <c r="J184" s="323"/>
      <c r="K184" s="323"/>
      <c r="L184" s="323"/>
      <c r="M184" s="323"/>
      <c r="N184" s="323"/>
      <c r="O184" s="323"/>
      <c r="P184" s="323"/>
      <c r="Q184" s="323"/>
      <c r="R184" s="323"/>
      <c r="S184" s="323"/>
      <c r="T184" s="323"/>
      <c r="U184" s="323"/>
      <c r="V184" s="323"/>
      <c r="W184" s="323"/>
      <c r="X184" s="323"/>
      <c r="Y184" s="323"/>
      <c r="Z184" s="323"/>
      <c r="AA184" s="323"/>
      <c r="AB184" s="323"/>
      <c r="AC184" s="323"/>
      <c r="AD184" s="323"/>
      <c r="AE184" s="323"/>
      <c r="AF184" s="323"/>
      <c r="AG184" s="323"/>
      <c r="AH184" s="323"/>
      <c r="AI184" s="323"/>
      <c r="AJ184" s="323"/>
      <c r="AK184" s="323"/>
      <c r="AL184" s="323"/>
      <c r="AM184" s="323"/>
      <c r="AN184" s="323"/>
      <c r="AO184" s="323"/>
      <c r="AP184" s="323"/>
      <c r="AQ184" s="323"/>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row>
    <row r="185" spans="2:103" x14ac:dyDescent="0.2">
      <c r="B185" s="318" t="s">
        <v>401</v>
      </c>
      <c r="C185" s="258"/>
      <c r="D185" s="258"/>
      <c r="E185" s="258"/>
      <c r="F185" s="258"/>
      <c r="G185" s="258"/>
      <c r="H185" s="258"/>
      <c r="I185" s="258"/>
      <c r="J185" s="258"/>
      <c r="K185" s="258"/>
      <c r="L185" s="258"/>
      <c r="M185" s="258"/>
      <c r="N185" s="258"/>
      <c r="O185" s="258"/>
      <c r="P185" s="258"/>
      <c r="Q185" s="258"/>
      <c r="R185" s="258"/>
      <c r="S185" s="258"/>
      <c r="T185" s="258"/>
      <c r="U185" s="258"/>
      <c r="V185" s="258"/>
      <c r="W185" s="258"/>
      <c r="X185" s="258"/>
      <c r="Y185" s="258"/>
      <c r="Z185" s="258"/>
      <c r="AA185" s="258"/>
      <c r="AB185" s="258"/>
      <c r="AC185" s="258"/>
      <c r="AD185" s="258"/>
      <c r="AE185" s="258"/>
      <c r="AF185" s="258"/>
      <c r="AG185" s="258"/>
      <c r="AH185" s="258"/>
      <c r="AI185" s="258"/>
      <c r="AJ185" s="258"/>
      <c r="AK185" s="258"/>
      <c r="AL185" s="258"/>
      <c r="AM185" s="258"/>
      <c r="AN185" s="258"/>
      <c r="AO185" s="258"/>
      <c r="AP185" s="258"/>
      <c r="AQ185" s="258"/>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row>
    <row r="186" spans="2:103" x14ac:dyDescent="0.2">
      <c r="B186" s="316" t="s">
        <v>402</v>
      </c>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c r="AA186" s="333"/>
      <c r="AB186" s="333"/>
      <c r="AC186" s="333"/>
      <c r="AD186" s="333"/>
      <c r="AE186" s="333"/>
      <c r="AF186" s="333"/>
      <c r="AG186" s="333"/>
      <c r="AH186" s="333"/>
      <c r="AI186" s="333"/>
      <c r="AJ186" s="333"/>
      <c r="AK186" s="333"/>
      <c r="AL186" s="333"/>
      <c r="AM186" s="333"/>
      <c r="AN186" s="333"/>
      <c r="AO186" s="333"/>
      <c r="AP186" s="333"/>
      <c r="AQ186" s="255"/>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row>
    <row r="187" spans="2:103" x14ac:dyDescent="0.2">
      <c r="B187" s="332" t="s">
        <v>403</v>
      </c>
      <c r="C187" s="311"/>
      <c r="D187" s="311"/>
      <c r="E187" s="311"/>
      <c r="F187" s="311"/>
      <c r="G187" s="311"/>
      <c r="H187" s="311"/>
      <c r="I187" s="311"/>
      <c r="J187" s="311"/>
      <c r="K187" s="311"/>
      <c r="L187" s="311"/>
      <c r="M187" s="311"/>
      <c r="N187" s="311"/>
      <c r="O187" s="311"/>
      <c r="P187" s="311"/>
      <c r="Q187" s="311"/>
      <c r="R187" s="311"/>
      <c r="S187" s="311"/>
      <c r="T187" s="311"/>
      <c r="U187" s="311"/>
      <c r="V187" s="311"/>
      <c r="W187" s="311"/>
      <c r="X187" s="311"/>
      <c r="Y187" s="311"/>
      <c r="Z187" s="311"/>
      <c r="AA187" s="311"/>
      <c r="AB187" s="311"/>
      <c r="AC187" s="311"/>
      <c r="AD187" s="311"/>
      <c r="AE187" s="311"/>
      <c r="AF187" s="311"/>
      <c r="AG187" s="311"/>
      <c r="AH187" s="311"/>
      <c r="AI187" s="311"/>
      <c r="AJ187" s="311"/>
      <c r="AK187" s="311"/>
      <c r="AL187" s="311"/>
      <c r="AM187" s="311"/>
      <c r="AN187" s="311"/>
      <c r="AO187" s="311"/>
      <c r="AP187" s="311"/>
      <c r="AQ187" s="31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row>
    <row r="188" spans="2:103" x14ac:dyDescent="0.2">
      <c r="B188" s="40" t="s">
        <v>404</v>
      </c>
      <c r="C188" s="311"/>
      <c r="D188" s="311"/>
      <c r="E188" s="311"/>
      <c r="F188" s="311"/>
      <c r="G188" s="311"/>
      <c r="H188" s="311"/>
      <c r="I188" s="311"/>
      <c r="J188" s="311"/>
      <c r="K188" s="311"/>
      <c r="L188" s="311"/>
      <c r="M188" s="311"/>
      <c r="N188" s="311"/>
      <c r="O188" s="311"/>
      <c r="P188" s="311"/>
      <c r="Q188" s="311"/>
      <c r="R188" s="311"/>
      <c r="S188" s="311"/>
      <c r="T188" s="311"/>
      <c r="U188" s="311"/>
      <c r="V188" s="311"/>
      <c r="W188" s="311"/>
      <c r="X188" s="311"/>
      <c r="Y188" s="311"/>
      <c r="Z188" s="311"/>
      <c r="AA188" s="311"/>
      <c r="AB188" s="311"/>
      <c r="AC188" s="311"/>
      <c r="AD188" s="311"/>
      <c r="AE188" s="311"/>
      <c r="AF188" s="311"/>
      <c r="AG188" s="311"/>
      <c r="AH188" s="311"/>
      <c r="AI188" s="311"/>
      <c r="AJ188" s="311"/>
      <c r="AK188" s="311"/>
      <c r="AL188" s="311"/>
      <c r="AM188" s="311"/>
      <c r="AN188" s="311"/>
      <c r="AO188" s="311"/>
      <c r="AP188" s="311"/>
      <c r="AQ188" s="31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row>
    <row r="189" spans="2:103" x14ac:dyDescent="0.2">
      <c r="B189" s="331" t="s">
        <v>405</v>
      </c>
      <c r="C189" s="311"/>
      <c r="D189" s="311"/>
      <c r="E189" s="311"/>
      <c r="F189" s="311"/>
      <c r="G189" s="311"/>
      <c r="H189" s="311"/>
      <c r="I189" s="311"/>
      <c r="J189" s="311"/>
      <c r="K189" s="311"/>
      <c r="L189" s="311"/>
      <c r="M189" s="311"/>
      <c r="N189" s="311"/>
      <c r="O189" s="311"/>
      <c r="P189" s="311"/>
      <c r="Q189" s="311"/>
      <c r="R189" s="311"/>
      <c r="S189" s="311"/>
      <c r="T189" s="311"/>
      <c r="U189" s="311"/>
      <c r="V189" s="311"/>
      <c r="W189" s="311"/>
      <c r="X189" s="311"/>
      <c r="Y189" s="311"/>
      <c r="Z189" s="311"/>
      <c r="AA189" s="311"/>
      <c r="AB189" s="311"/>
      <c r="AC189" s="311"/>
      <c r="AD189" s="311"/>
      <c r="AE189" s="311"/>
      <c r="AF189" s="311"/>
      <c r="AG189" s="311"/>
      <c r="AH189" s="311"/>
      <c r="AI189" s="311"/>
      <c r="AJ189" s="311"/>
      <c r="AK189" s="311"/>
      <c r="AL189" s="311"/>
      <c r="AM189" s="311"/>
      <c r="AN189" s="311"/>
      <c r="AO189" s="311"/>
      <c r="AP189" s="311"/>
      <c r="AQ189" s="31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row>
    <row r="190" spans="2:103" x14ac:dyDescent="0.2">
      <c r="B190" s="316" t="s">
        <v>406</v>
      </c>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c r="AA190" s="333"/>
      <c r="AB190" s="333"/>
      <c r="AC190" s="333"/>
      <c r="AD190" s="333"/>
      <c r="AE190" s="333"/>
      <c r="AF190" s="333"/>
      <c r="AG190" s="333"/>
      <c r="AH190" s="333"/>
      <c r="AI190" s="333"/>
      <c r="AJ190" s="333"/>
      <c r="AK190" s="333"/>
      <c r="AL190" s="333"/>
      <c r="AM190" s="333"/>
      <c r="AN190" s="333"/>
      <c r="AO190" s="333"/>
      <c r="AP190" s="333"/>
      <c r="AQ190" s="255"/>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row>
    <row r="191" spans="2:103" x14ac:dyDescent="0.2">
      <c r="B191" s="332" t="s">
        <v>407</v>
      </c>
      <c r="C191" s="311"/>
      <c r="D191" s="311"/>
      <c r="E191" s="311"/>
      <c r="F191" s="311"/>
      <c r="G191" s="311"/>
      <c r="H191" s="311"/>
      <c r="I191" s="311"/>
      <c r="J191" s="311"/>
      <c r="K191" s="311"/>
      <c r="L191" s="311"/>
      <c r="M191" s="311"/>
      <c r="N191" s="311"/>
      <c r="O191" s="311"/>
      <c r="P191" s="311"/>
      <c r="Q191" s="311"/>
      <c r="R191" s="311"/>
      <c r="S191" s="311"/>
      <c r="T191" s="311"/>
      <c r="U191" s="311"/>
      <c r="V191" s="311"/>
      <c r="W191" s="311"/>
      <c r="X191" s="311"/>
      <c r="Y191" s="311"/>
      <c r="Z191" s="311"/>
      <c r="AA191" s="311"/>
      <c r="AB191" s="311"/>
      <c r="AC191" s="311"/>
      <c r="AD191" s="311"/>
      <c r="AE191" s="311"/>
      <c r="AF191" s="311"/>
      <c r="AG191" s="311"/>
      <c r="AH191" s="311"/>
      <c r="AI191" s="311"/>
      <c r="AJ191" s="311"/>
      <c r="AK191" s="311"/>
      <c r="AL191" s="311"/>
      <c r="AM191" s="311"/>
      <c r="AN191" s="311"/>
      <c r="AO191" s="311"/>
      <c r="AP191" s="311"/>
      <c r="AQ191" s="31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row>
    <row r="192" spans="2:103" x14ac:dyDescent="0.2">
      <c r="B192" s="263" t="s">
        <v>244</v>
      </c>
      <c r="AQ192" s="31"/>
    </row>
    <row r="193" spans="2:43" x14ac:dyDescent="0.2">
      <c r="B193" s="264" t="s">
        <v>245</v>
      </c>
      <c r="C193" s="9"/>
      <c r="D193" s="339">
        <v>0</v>
      </c>
      <c r="E193" s="339"/>
      <c r="F193" s="339"/>
      <c r="G193" s="339"/>
      <c r="H193" s="339"/>
      <c r="I193" s="339"/>
      <c r="J193" s="339"/>
      <c r="K193" s="339"/>
      <c r="L193" s="339"/>
      <c r="M193" s="339"/>
      <c r="N193" s="339"/>
      <c r="O193" s="339"/>
      <c r="P193" s="339"/>
      <c r="Q193" s="339"/>
      <c r="R193" s="339"/>
      <c r="S193" s="339"/>
      <c r="T193" s="339"/>
      <c r="U193" s="339"/>
      <c r="V193" s="339"/>
      <c r="W193" s="339"/>
      <c r="X193" s="339"/>
      <c r="Y193" s="339"/>
      <c r="Z193" s="339"/>
      <c r="AA193" s="339"/>
      <c r="AB193" s="339"/>
      <c r="AC193" s="339"/>
      <c r="AD193" s="339"/>
      <c r="AE193" s="339"/>
      <c r="AF193" s="339"/>
      <c r="AG193" s="339"/>
      <c r="AH193" s="339"/>
      <c r="AI193" s="339"/>
      <c r="AJ193" s="339"/>
      <c r="AK193" s="339"/>
      <c r="AL193" s="339"/>
      <c r="AM193" s="339"/>
      <c r="AN193" s="339"/>
      <c r="AO193" s="339"/>
      <c r="AP193" s="339"/>
      <c r="AQ193" s="339"/>
    </row>
    <row r="194" spans="2:43" x14ac:dyDescent="0.2">
      <c r="B194" s="29" t="s">
        <v>408</v>
      </c>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3"/>
      <c r="AG194" s="333"/>
      <c r="AH194" s="333"/>
      <c r="AI194" s="333"/>
      <c r="AJ194" s="333"/>
      <c r="AK194" s="333"/>
      <c r="AL194" s="333"/>
      <c r="AM194" s="333"/>
      <c r="AN194" s="333"/>
      <c r="AO194" s="333"/>
      <c r="AP194" s="333"/>
      <c r="AQ194" s="255"/>
    </row>
    <row r="195" spans="2:43" x14ac:dyDescent="0.2">
      <c r="B195" s="334" t="s">
        <v>409</v>
      </c>
      <c r="C195" s="311"/>
      <c r="D195" s="311"/>
      <c r="E195" s="311"/>
      <c r="F195" s="311"/>
      <c r="G195" s="311"/>
      <c r="H195" s="311"/>
      <c r="I195" s="311"/>
      <c r="J195" s="311"/>
      <c r="K195" s="311"/>
      <c r="L195" s="311"/>
      <c r="M195" s="311"/>
      <c r="N195" s="311"/>
      <c r="O195" s="311"/>
      <c r="P195" s="311"/>
      <c r="Q195" s="311"/>
      <c r="R195" s="311"/>
      <c r="S195" s="311"/>
      <c r="T195" s="311"/>
      <c r="U195" s="311"/>
      <c r="V195" s="311"/>
      <c r="W195" s="311"/>
      <c r="X195" s="311"/>
      <c r="Y195" s="311"/>
      <c r="Z195" s="311"/>
      <c r="AA195" s="311"/>
      <c r="AB195" s="311"/>
      <c r="AC195" s="311"/>
      <c r="AD195" s="311"/>
      <c r="AE195" s="311"/>
      <c r="AF195" s="311"/>
      <c r="AG195" s="311"/>
      <c r="AH195" s="311"/>
      <c r="AI195" s="311"/>
      <c r="AJ195" s="311"/>
      <c r="AK195" s="311"/>
      <c r="AL195" s="311"/>
      <c r="AM195" s="311"/>
      <c r="AN195" s="311"/>
      <c r="AO195" s="311"/>
      <c r="AP195" s="311"/>
      <c r="AQ195" s="311"/>
    </row>
    <row r="196" spans="2:43" x14ac:dyDescent="0.2">
      <c r="B196" s="335" t="s">
        <v>410</v>
      </c>
      <c r="C196" s="311"/>
      <c r="D196" s="311"/>
      <c r="E196" s="311"/>
      <c r="F196" s="311"/>
      <c r="G196" s="311"/>
      <c r="H196" s="311"/>
      <c r="I196" s="311"/>
      <c r="J196" s="311"/>
      <c r="K196" s="311"/>
      <c r="L196" s="311"/>
      <c r="M196" s="311"/>
      <c r="N196" s="311"/>
      <c r="O196" s="311"/>
      <c r="P196" s="311"/>
      <c r="Q196" s="311"/>
      <c r="R196" s="311"/>
      <c r="S196" s="311"/>
      <c r="T196" s="311"/>
      <c r="U196" s="311"/>
      <c r="V196" s="311"/>
      <c r="W196" s="311"/>
      <c r="X196" s="311"/>
      <c r="Y196" s="311"/>
      <c r="Z196" s="311"/>
      <c r="AA196" s="311"/>
      <c r="AB196" s="311"/>
      <c r="AC196" s="311"/>
      <c r="AD196" s="311"/>
      <c r="AE196" s="311"/>
      <c r="AF196" s="311"/>
      <c r="AG196" s="311"/>
      <c r="AH196" s="311"/>
      <c r="AI196" s="311"/>
      <c r="AJ196" s="311"/>
      <c r="AK196" s="311"/>
      <c r="AL196" s="311"/>
      <c r="AM196" s="311"/>
      <c r="AN196" s="311"/>
      <c r="AO196" s="311"/>
      <c r="AP196" s="311"/>
      <c r="AQ196" s="311"/>
    </row>
    <row r="197" spans="2:43" x14ac:dyDescent="0.2">
      <c r="B197" s="337" t="s">
        <v>411</v>
      </c>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c r="AA197" s="333"/>
      <c r="AB197" s="333"/>
      <c r="AC197" s="333"/>
      <c r="AD197" s="333"/>
      <c r="AE197" s="333"/>
      <c r="AF197" s="333"/>
      <c r="AG197" s="333"/>
      <c r="AH197" s="333"/>
      <c r="AI197" s="333"/>
      <c r="AJ197" s="333"/>
      <c r="AK197" s="333"/>
      <c r="AL197" s="333"/>
      <c r="AM197" s="333"/>
      <c r="AN197" s="333"/>
      <c r="AO197" s="333"/>
      <c r="AP197" s="333"/>
      <c r="AQ197" s="255"/>
    </row>
    <row r="198" spans="2:43" x14ac:dyDescent="0.2">
      <c r="B198" s="336" t="s">
        <v>412</v>
      </c>
      <c r="C198" s="338"/>
      <c r="D198" s="311"/>
      <c r="E198" s="311"/>
      <c r="F198" s="311"/>
      <c r="G198" s="311"/>
      <c r="H198" s="311"/>
      <c r="I198" s="311"/>
      <c r="J198" s="311"/>
      <c r="K198" s="311"/>
      <c r="L198" s="311"/>
      <c r="M198" s="311"/>
      <c r="N198" s="311"/>
      <c r="O198" s="311"/>
      <c r="P198" s="311"/>
      <c r="Q198" s="311"/>
      <c r="R198" s="311"/>
      <c r="S198" s="311"/>
      <c r="T198" s="311"/>
      <c r="U198" s="311"/>
      <c r="V198" s="311"/>
      <c r="W198" s="311"/>
      <c r="X198" s="311"/>
      <c r="Y198" s="311"/>
      <c r="Z198" s="311"/>
      <c r="AA198" s="311"/>
      <c r="AB198" s="311"/>
      <c r="AC198" s="311"/>
      <c r="AD198" s="311"/>
      <c r="AE198" s="311"/>
      <c r="AF198" s="311"/>
      <c r="AG198" s="311"/>
      <c r="AH198" s="311"/>
      <c r="AI198" s="311"/>
      <c r="AJ198" s="311"/>
      <c r="AK198" s="311"/>
      <c r="AL198" s="311"/>
      <c r="AM198" s="311"/>
      <c r="AN198" s="311"/>
      <c r="AO198" s="311"/>
      <c r="AP198" s="311"/>
      <c r="AQ198" s="311"/>
    </row>
  </sheetData>
  <mergeCells count="1">
    <mergeCell ref="E91:F91"/>
  </mergeCells>
  <dataValidations xWindow="485" yWindow="427" count="8">
    <dataValidation type="list" allowBlank="1" showInputMessage="1" showErrorMessage="1" sqref="H123:H124 E93:F94 E96:F97 E115:H118 F120:G124 E110:H113 E105:H108 D127:G133" xr:uid="{00000000-0002-0000-0000-000000000000}">
      <formula1>"Yes,No"</formula1>
    </dataValidation>
    <dataValidation type="list" allowBlank="1" showInputMessage="1" showErrorMessage="1" sqref="N8 N10:N25" xr:uid="{00000000-0002-0000-0000-000001000000}">
      <formula1>"Initial Year Input, Annual Inputs"</formula1>
    </dataValidation>
    <dataValidation type="list" allowBlank="1" showInputMessage="1" errorTitle="State Depreciation Treatment" error="The single owner workbook does not handle custom depreciation schedules." sqref="C88" xr:uid="{00000000-0002-0000-0000-000002000000}">
      <formula1>$B$127:$B$133</formula1>
    </dataValidation>
    <dataValidation allowBlank="1" showInputMessage="1" showErrorMessage="1" sqref="W9 AH9 G42:J42" xr:uid="{00000000-0002-0000-0000-000003000000}"/>
    <dataValidation allowBlank="1" sqref="C47 C31" xr:uid="{00000000-0002-0000-0000-000004000000}"/>
    <dataValidation errorTitle="Salvage Value" error="This is a calculated value shown for reference -- it should match the value in SAM. It is not used in the single owner workbook calculations." sqref="C56" xr:uid="{00000000-0002-0000-0000-000005000000}"/>
    <dataValidation errorTitle="Target Year Error" error="Please enter a target year less than or equal to the analysis period." sqref="C30" xr:uid="{00000000-0002-0000-0000-000006000000}"/>
    <dataValidation type="list" allowBlank="1" showInputMessage="1" errorTitle="Federal Depreciation Treatment" sqref="C87" xr:uid="{00000000-0002-0000-0000-000007000000}">
      <formula1>$B$127:$B$133</formula1>
    </dataValidation>
  </dataValidations>
  <pageMargins left="0.5" right="0.5" top="0.5" bottom="0.75" header="0.3" footer="0.3"/>
  <pageSetup scale="73" pageOrder="overThenDown" orientation="landscape" horizontalDpi="4294967294" r:id="rId1"/>
  <rowBreaks count="1" manualBreakCount="1">
    <brk id="101" min="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774"/>
  <sheetViews>
    <sheetView zoomScale="90" zoomScaleNormal="90" workbookViewId="0">
      <pane xSplit="1" ySplit="2" topLeftCell="B3" activePane="bottomRight" state="frozen"/>
      <selection pane="topRight" activeCell="B1" sqref="B1"/>
      <selection pane="bottomLeft" activeCell="A3" sqref="A3"/>
      <selection pane="bottomRight"/>
    </sheetView>
  </sheetViews>
  <sheetFormatPr defaultColWidth="9.140625" defaultRowHeight="12.75" x14ac:dyDescent="0.2"/>
  <cols>
    <col min="1" max="1" width="53.5703125" style="4" customWidth="1"/>
    <col min="2" max="2" width="14.85546875" style="4" customWidth="1"/>
    <col min="3" max="3" width="13.7109375" style="4" customWidth="1"/>
    <col min="4" max="9" width="11.5703125" style="4" customWidth="1"/>
    <col min="10" max="10" width="12.7109375" style="4" customWidth="1"/>
    <col min="11" max="15" width="11.5703125" style="4" customWidth="1"/>
    <col min="16" max="17" width="12.85546875" style="4" customWidth="1"/>
    <col min="18" max="31" width="11.5703125" style="4" customWidth="1"/>
    <col min="32" max="32" width="11.42578125" style="4" customWidth="1"/>
    <col min="33" max="42" width="11.5703125" style="4" customWidth="1"/>
    <col min="43" max="16384" width="9.140625" style="4"/>
  </cols>
  <sheetData>
    <row r="1" spans="1:42" ht="21" thickBot="1" x14ac:dyDescent="0.4">
      <c r="A1" s="216" t="s">
        <v>262</v>
      </c>
    </row>
    <row r="2" spans="1:42" x14ac:dyDescent="0.2">
      <c r="A2" s="82" t="s">
        <v>1</v>
      </c>
      <c r="B2" s="16">
        <v>0</v>
      </c>
      <c r="C2" s="16">
        <f>B2+1</f>
        <v>1</v>
      </c>
      <c r="D2" s="16">
        <f t="shared" ref="D2:AP2" si="0">C2+1</f>
        <v>2</v>
      </c>
      <c r="E2" s="16">
        <f t="shared" si="0"/>
        <v>3</v>
      </c>
      <c r="F2" s="16">
        <f t="shared" si="0"/>
        <v>4</v>
      </c>
      <c r="G2" s="16">
        <f t="shared" si="0"/>
        <v>5</v>
      </c>
      <c r="H2" s="16">
        <f t="shared" si="0"/>
        <v>6</v>
      </c>
      <c r="I2" s="16">
        <f t="shared" si="0"/>
        <v>7</v>
      </c>
      <c r="J2" s="16">
        <f t="shared" si="0"/>
        <v>8</v>
      </c>
      <c r="K2" s="16">
        <f t="shared" si="0"/>
        <v>9</v>
      </c>
      <c r="L2" s="16">
        <f t="shared" si="0"/>
        <v>10</v>
      </c>
      <c r="M2" s="16">
        <f t="shared" si="0"/>
        <v>11</v>
      </c>
      <c r="N2" s="16">
        <f t="shared" si="0"/>
        <v>12</v>
      </c>
      <c r="O2" s="16">
        <f t="shared" si="0"/>
        <v>13</v>
      </c>
      <c r="P2" s="16">
        <f t="shared" si="0"/>
        <v>14</v>
      </c>
      <c r="Q2" s="16">
        <f t="shared" si="0"/>
        <v>15</v>
      </c>
      <c r="R2" s="16">
        <f t="shared" si="0"/>
        <v>16</v>
      </c>
      <c r="S2" s="16">
        <f t="shared" si="0"/>
        <v>17</v>
      </c>
      <c r="T2" s="16">
        <f t="shared" si="0"/>
        <v>18</v>
      </c>
      <c r="U2" s="16">
        <f t="shared" si="0"/>
        <v>19</v>
      </c>
      <c r="V2" s="16">
        <f t="shared" si="0"/>
        <v>20</v>
      </c>
      <c r="W2" s="16">
        <f t="shared" si="0"/>
        <v>21</v>
      </c>
      <c r="X2" s="16">
        <f t="shared" si="0"/>
        <v>22</v>
      </c>
      <c r="Y2" s="16">
        <f t="shared" si="0"/>
        <v>23</v>
      </c>
      <c r="Z2" s="16">
        <f t="shared" si="0"/>
        <v>24</v>
      </c>
      <c r="AA2" s="16">
        <f t="shared" si="0"/>
        <v>25</v>
      </c>
      <c r="AB2" s="16">
        <f t="shared" si="0"/>
        <v>26</v>
      </c>
      <c r="AC2" s="16">
        <f t="shared" si="0"/>
        <v>27</v>
      </c>
      <c r="AD2" s="16">
        <f t="shared" si="0"/>
        <v>28</v>
      </c>
      <c r="AE2" s="16">
        <f t="shared" si="0"/>
        <v>29</v>
      </c>
      <c r="AF2" s="16">
        <f t="shared" si="0"/>
        <v>30</v>
      </c>
      <c r="AG2" s="16">
        <f t="shared" si="0"/>
        <v>31</v>
      </c>
      <c r="AH2" s="16">
        <f t="shared" si="0"/>
        <v>32</v>
      </c>
      <c r="AI2" s="16">
        <f t="shared" si="0"/>
        <v>33</v>
      </c>
      <c r="AJ2" s="16">
        <f t="shared" si="0"/>
        <v>34</v>
      </c>
      <c r="AK2" s="16">
        <f t="shared" si="0"/>
        <v>35</v>
      </c>
      <c r="AL2" s="16">
        <f t="shared" si="0"/>
        <v>36</v>
      </c>
      <c r="AM2" s="16">
        <f t="shared" si="0"/>
        <v>37</v>
      </c>
      <c r="AN2" s="16">
        <f t="shared" si="0"/>
        <v>38</v>
      </c>
      <c r="AO2" s="16">
        <f t="shared" si="0"/>
        <v>39</v>
      </c>
      <c r="AP2" s="16">
        <f t="shared" si="0"/>
        <v>40</v>
      </c>
    </row>
    <row r="3" spans="1:42" x14ac:dyDescent="0.2">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row>
    <row r="4" spans="1:42" x14ac:dyDescent="0.2">
      <c r="A4" s="82" t="s">
        <v>370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row>
    <row r="5" spans="1:42" x14ac:dyDescent="0.2">
      <c r="A5" s="4" t="s">
        <v>382</v>
      </c>
      <c r="B5" s="119">
        <f t="array" ref="B5:AP6">Inputs!C139:AQ140</f>
        <v>0</v>
      </c>
      <c r="C5" s="119">
        <v>211907000</v>
      </c>
      <c r="D5" s="119">
        <v>210848000</v>
      </c>
      <c r="E5" s="119">
        <v>209794000</v>
      </c>
      <c r="F5" s="119">
        <v>208745000</v>
      </c>
      <c r="G5" s="119">
        <v>207701000</v>
      </c>
      <c r="H5" s="119">
        <v>206662000</v>
      </c>
      <c r="I5" s="119">
        <v>205629000</v>
      </c>
      <c r="J5" s="119">
        <v>204601000</v>
      </c>
      <c r="K5" s="119">
        <v>203578000</v>
      </c>
      <c r="L5" s="119">
        <v>202560000</v>
      </c>
      <c r="M5" s="119">
        <v>201547000</v>
      </c>
      <c r="N5" s="119">
        <v>200540000</v>
      </c>
      <c r="O5" s="119">
        <v>199537000</v>
      </c>
      <c r="P5" s="119">
        <v>198539000</v>
      </c>
      <c r="Q5" s="119">
        <v>197547000</v>
      </c>
      <c r="R5" s="119">
        <v>196559000</v>
      </c>
      <c r="S5" s="119">
        <v>195576000</v>
      </c>
      <c r="T5" s="119">
        <v>194598000</v>
      </c>
      <c r="U5" s="119">
        <v>193625000</v>
      </c>
      <c r="V5" s="119">
        <v>192657000</v>
      </c>
      <c r="W5" s="119">
        <v>191694000</v>
      </c>
      <c r="X5" s="119">
        <v>190735000</v>
      </c>
      <c r="Y5" s="119">
        <v>189782000</v>
      </c>
      <c r="Z5" s="119">
        <v>188833000</v>
      </c>
      <c r="AA5" s="119">
        <v>187888000</v>
      </c>
      <c r="AB5" s="119">
        <v>0</v>
      </c>
      <c r="AC5" s="119">
        <v>0</v>
      </c>
      <c r="AD5" s="119">
        <v>0</v>
      </c>
      <c r="AE5" s="119">
        <v>0</v>
      </c>
      <c r="AF5" s="119">
        <v>0</v>
      </c>
      <c r="AG5" s="119">
        <v>0</v>
      </c>
      <c r="AH5" s="119">
        <v>0</v>
      </c>
      <c r="AI5" s="119">
        <v>0</v>
      </c>
      <c r="AJ5" s="119">
        <v>0</v>
      </c>
      <c r="AK5" s="119">
        <v>0</v>
      </c>
      <c r="AL5" s="119">
        <v>0</v>
      </c>
      <c r="AM5" s="119">
        <v>0</v>
      </c>
      <c r="AN5" s="119">
        <v>0</v>
      </c>
      <c r="AO5" s="119">
        <v>0</v>
      </c>
      <c r="AP5" s="119">
        <v>0</v>
      </c>
    </row>
    <row r="6" spans="1:42" x14ac:dyDescent="0.2">
      <c r="A6" s="4" t="s">
        <v>383</v>
      </c>
      <c r="B6" s="119">
        <v>0</v>
      </c>
      <c r="C6" s="119">
        <v>0</v>
      </c>
      <c r="D6" s="119">
        <v>0</v>
      </c>
      <c r="E6" s="119">
        <v>0</v>
      </c>
      <c r="F6" s="119">
        <v>0</v>
      </c>
      <c r="G6" s="119">
        <v>0</v>
      </c>
      <c r="H6" s="119">
        <v>0</v>
      </c>
      <c r="I6" s="119">
        <v>0</v>
      </c>
      <c r="J6" s="119">
        <v>0</v>
      </c>
      <c r="K6" s="119">
        <v>0</v>
      </c>
      <c r="L6" s="119">
        <v>0</v>
      </c>
      <c r="M6" s="119">
        <v>0</v>
      </c>
      <c r="N6" s="119">
        <v>0</v>
      </c>
      <c r="O6" s="119">
        <v>0</v>
      </c>
      <c r="P6" s="119">
        <v>0</v>
      </c>
      <c r="Q6" s="119">
        <v>0</v>
      </c>
      <c r="R6" s="119">
        <v>0</v>
      </c>
      <c r="S6" s="119">
        <v>0</v>
      </c>
      <c r="T6" s="119">
        <v>0</v>
      </c>
      <c r="U6" s="119">
        <v>0</v>
      </c>
      <c r="V6" s="119">
        <v>0</v>
      </c>
      <c r="W6" s="119">
        <v>0</v>
      </c>
      <c r="X6" s="119">
        <v>0</v>
      </c>
      <c r="Y6" s="119">
        <v>0</v>
      </c>
      <c r="Z6" s="119">
        <v>0</v>
      </c>
      <c r="AA6" s="119">
        <v>0</v>
      </c>
      <c r="AB6" s="119">
        <v>0</v>
      </c>
      <c r="AC6" s="119">
        <v>0</v>
      </c>
      <c r="AD6" s="119">
        <v>0</v>
      </c>
      <c r="AE6" s="119">
        <v>0</v>
      </c>
      <c r="AF6" s="119">
        <v>0</v>
      </c>
      <c r="AG6" s="119">
        <v>0</v>
      </c>
      <c r="AH6" s="119">
        <v>0</v>
      </c>
      <c r="AI6" s="119">
        <v>0</v>
      </c>
      <c r="AJ6" s="119">
        <v>0</v>
      </c>
      <c r="AK6" s="119">
        <v>0</v>
      </c>
      <c r="AL6" s="119">
        <v>0</v>
      </c>
      <c r="AM6" s="119">
        <v>0</v>
      </c>
      <c r="AN6" s="119">
        <v>0</v>
      </c>
      <c r="AO6" s="119">
        <v>0</v>
      </c>
      <c r="AP6" s="119">
        <v>0</v>
      </c>
    </row>
    <row r="7" spans="1:42" x14ac:dyDescent="0.2">
      <c r="A7" s="18" t="s">
        <v>384</v>
      </c>
      <c r="B7" s="125">
        <f>SUM(B5:B6)</f>
        <v>0</v>
      </c>
      <c r="C7" s="125">
        <f t="shared" ref="C7:AP7" si="1">SUM(C5:C6)</f>
        <v>211907000</v>
      </c>
      <c r="D7" s="125">
        <f t="shared" si="1"/>
        <v>210848000</v>
      </c>
      <c r="E7" s="125">
        <f t="shared" si="1"/>
        <v>209794000</v>
      </c>
      <c r="F7" s="125">
        <f t="shared" si="1"/>
        <v>208745000</v>
      </c>
      <c r="G7" s="125">
        <f t="shared" si="1"/>
        <v>207701000</v>
      </c>
      <c r="H7" s="125">
        <f t="shared" si="1"/>
        <v>206662000</v>
      </c>
      <c r="I7" s="125">
        <f t="shared" si="1"/>
        <v>205629000</v>
      </c>
      <c r="J7" s="125">
        <f t="shared" si="1"/>
        <v>204601000</v>
      </c>
      <c r="K7" s="125">
        <f t="shared" si="1"/>
        <v>203578000</v>
      </c>
      <c r="L7" s="125">
        <f t="shared" si="1"/>
        <v>202560000</v>
      </c>
      <c r="M7" s="125">
        <f t="shared" si="1"/>
        <v>201547000</v>
      </c>
      <c r="N7" s="125">
        <f t="shared" si="1"/>
        <v>200540000</v>
      </c>
      <c r="O7" s="125">
        <f t="shared" si="1"/>
        <v>199537000</v>
      </c>
      <c r="P7" s="125">
        <f t="shared" si="1"/>
        <v>198539000</v>
      </c>
      <c r="Q7" s="125">
        <f t="shared" si="1"/>
        <v>197547000</v>
      </c>
      <c r="R7" s="125">
        <f t="shared" si="1"/>
        <v>196559000</v>
      </c>
      <c r="S7" s="125">
        <f t="shared" si="1"/>
        <v>195576000</v>
      </c>
      <c r="T7" s="125">
        <f t="shared" si="1"/>
        <v>194598000</v>
      </c>
      <c r="U7" s="125">
        <f t="shared" si="1"/>
        <v>193625000</v>
      </c>
      <c r="V7" s="125">
        <f t="shared" si="1"/>
        <v>192657000</v>
      </c>
      <c r="W7" s="125">
        <f t="shared" si="1"/>
        <v>191694000</v>
      </c>
      <c r="X7" s="125">
        <f t="shared" si="1"/>
        <v>190735000</v>
      </c>
      <c r="Y7" s="125">
        <f t="shared" si="1"/>
        <v>189782000</v>
      </c>
      <c r="Z7" s="125">
        <f t="shared" si="1"/>
        <v>188833000</v>
      </c>
      <c r="AA7" s="125">
        <f t="shared" si="1"/>
        <v>187888000</v>
      </c>
      <c r="AB7" s="125">
        <f t="shared" si="1"/>
        <v>0</v>
      </c>
      <c r="AC7" s="125">
        <f t="shared" si="1"/>
        <v>0</v>
      </c>
      <c r="AD7" s="125">
        <f t="shared" si="1"/>
        <v>0</v>
      </c>
      <c r="AE7" s="125">
        <f t="shared" si="1"/>
        <v>0</v>
      </c>
      <c r="AF7" s="125">
        <f t="shared" si="1"/>
        <v>0</v>
      </c>
      <c r="AG7" s="125">
        <f t="shared" si="1"/>
        <v>0</v>
      </c>
      <c r="AH7" s="125">
        <f t="shared" si="1"/>
        <v>0</v>
      </c>
      <c r="AI7" s="125">
        <f t="shared" si="1"/>
        <v>0</v>
      </c>
      <c r="AJ7" s="125">
        <f t="shared" si="1"/>
        <v>0</v>
      </c>
      <c r="AK7" s="125">
        <f t="shared" si="1"/>
        <v>0</v>
      </c>
      <c r="AL7" s="125">
        <f t="shared" si="1"/>
        <v>0</v>
      </c>
      <c r="AM7" s="125">
        <f t="shared" si="1"/>
        <v>0</v>
      </c>
      <c r="AN7" s="125">
        <f t="shared" si="1"/>
        <v>0</v>
      </c>
      <c r="AO7" s="125">
        <f t="shared" si="1"/>
        <v>0</v>
      </c>
      <c r="AP7" s="125">
        <f t="shared" si="1"/>
        <v>0</v>
      </c>
    </row>
    <row r="8" spans="1:42" x14ac:dyDescent="0.2">
      <c r="A8" s="18" t="s">
        <v>385</v>
      </c>
      <c r="B8" s="119">
        <f t="array" ref="B8:AP10">Inputs!C142:AQ144</f>
        <v>0</v>
      </c>
      <c r="C8" s="119">
        <v>0</v>
      </c>
      <c r="D8" s="119">
        <v>0</v>
      </c>
      <c r="E8" s="119">
        <v>0</v>
      </c>
      <c r="F8" s="119">
        <v>0</v>
      </c>
      <c r="G8" s="119">
        <v>0</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19">
        <v>0</v>
      </c>
      <c r="Y8" s="119">
        <v>0</v>
      </c>
      <c r="Z8" s="119">
        <v>0</v>
      </c>
      <c r="AA8" s="119">
        <v>0</v>
      </c>
      <c r="AB8" s="119">
        <v>0</v>
      </c>
      <c r="AC8" s="119">
        <v>0</v>
      </c>
      <c r="AD8" s="119">
        <v>0</v>
      </c>
      <c r="AE8" s="119">
        <v>0</v>
      </c>
      <c r="AF8" s="119">
        <v>0</v>
      </c>
      <c r="AG8" s="119">
        <v>0</v>
      </c>
      <c r="AH8" s="119">
        <v>0</v>
      </c>
      <c r="AI8" s="119">
        <v>0</v>
      </c>
      <c r="AJ8" s="119">
        <v>0</v>
      </c>
      <c r="AK8" s="119">
        <v>0</v>
      </c>
      <c r="AL8" s="119">
        <v>0</v>
      </c>
      <c r="AM8" s="119">
        <v>0</v>
      </c>
      <c r="AN8" s="119">
        <v>0</v>
      </c>
      <c r="AO8" s="119">
        <v>0</v>
      </c>
      <c r="AP8" s="119">
        <v>0</v>
      </c>
    </row>
    <row r="9" spans="1:42" x14ac:dyDescent="0.2">
      <c r="A9" s="18" t="s">
        <v>386</v>
      </c>
      <c r="B9" s="119">
        <v>0</v>
      </c>
      <c r="C9" s="119">
        <v>0</v>
      </c>
      <c r="D9" s="119">
        <v>0</v>
      </c>
      <c r="E9" s="119">
        <v>0</v>
      </c>
      <c r="F9" s="119">
        <v>0</v>
      </c>
      <c r="G9" s="119">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0</v>
      </c>
      <c r="AM9" s="119">
        <v>0</v>
      </c>
      <c r="AN9" s="119">
        <v>0</v>
      </c>
      <c r="AO9" s="119">
        <v>0</v>
      </c>
      <c r="AP9" s="119">
        <v>0</v>
      </c>
    </row>
    <row r="10" spans="1:42" x14ac:dyDescent="0.2">
      <c r="A10" s="18" t="s">
        <v>387</v>
      </c>
      <c r="B10" s="313">
        <v>0</v>
      </c>
      <c r="C10" s="119">
        <v>0</v>
      </c>
      <c r="D10" s="119">
        <v>0</v>
      </c>
      <c r="E10" s="119">
        <v>0</v>
      </c>
      <c r="F10" s="119">
        <v>0</v>
      </c>
      <c r="G10" s="119">
        <v>0</v>
      </c>
      <c r="H10" s="119">
        <v>0</v>
      </c>
      <c r="I10" s="119">
        <v>0</v>
      </c>
      <c r="J10" s="119">
        <v>0</v>
      </c>
      <c r="K10" s="119">
        <v>0</v>
      </c>
      <c r="L10" s="119">
        <v>0</v>
      </c>
      <c r="M10" s="119">
        <v>0</v>
      </c>
      <c r="N10" s="119">
        <v>0</v>
      </c>
      <c r="O10" s="119">
        <v>0</v>
      </c>
      <c r="P10" s="119">
        <v>0</v>
      </c>
      <c r="Q10" s="119">
        <v>0</v>
      </c>
      <c r="R10" s="119">
        <v>0</v>
      </c>
      <c r="S10" s="119">
        <v>0</v>
      </c>
      <c r="T10" s="119">
        <v>0</v>
      </c>
      <c r="U10" s="119">
        <v>0</v>
      </c>
      <c r="V10" s="119">
        <v>0</v>
      </c>
      <c r="W10" s="119">
        <v>0</v>
      </c>
      <c r="X10" s="119">
        <v>0</v>
      </c>
      <c r="Y10" s="119">
        <v>0</v>
      </c>
      <c r="Z10" s="119">
        <v>0</v>
      </c>
      <c r="AA10" s="119">
        <v>0</v>
      </c>
      <c r="AB10" s="119">
        <v>0</v>
      </c>
      <c r="AC10" s="119">
        <v>0</v>
      </c>
      <c r="AD10" s="119">
        <v>0</v>
      </c>
      <c r="AE10" s="119">
        <v>0</v>
      </c>
      <c r="AF10" s="119">
        <v>0</v>
      </c>
      <c r="AG10" s="119">
        <v>0</v>
      </c>
      <c r="AH10" s="119">
        <v>0</v>
      </c>
      <c r="AI10" s="119">
        <v>0</v>
      </c>
      <c r="AJ10" s="119">
        <v>0</v>
      </c>
      <c r="AK10" s="119">
        <v>0</v>
      </c>
      <c r="AL10" s="119">
        <v>0</v>
      </c>
      <c r="AM10" s="119">
        <v>0</v>
      </c>
      <c r="AN10" s="119">
        <v>0</v>
      </c>
      <c r="AO10" s="119">
        <v>0</v>
      </c>
      <c r="AP10" s="119">
        <v>0</v>
      </c>
    </row>
    <row r="11" spans="1:42" x14ac:dyDescent="0.2">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pans="1:42" x14ac:dyDescent="0.2">
      <c r="A12" s="82" t="s">
        <v>71</v>
      </c>
      <c r="B12" s="7"/>
      <c r="C12" s="212"/>
      <c r="D12" s="212"/>
      <c r="E12" s="212"/>
      <c r="F12" s="212"/>
      <c r="G12" s="212"/>
      <c r="H12" s="212"/>
      <c r="I12" s="212"/>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row>
    <row r="13" spans="1:42" x14ac:dyDescent="0.2">
      <c r="A13" s="20" t="s">
        <v>377</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row>
    <row r="14" spans="1:42" x14ac:dyDescent="0.2">
      <c r="A14" s="4" t="s">
        <v>303</v>
      </c>
      <c r="C14" s="15"/>
      <c r="D14" s="21"/>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row>
    <row r="15" spans="1:42" x14ac:dyDescent="0.2">
      <c r="A15" s="87" t="s">
        <v>382</v>
      </c>
      <c r="B15" s="119"/>
      <c r="C15" s="119">
        <f>C$5</f>
        <v>211907000</v>
      </c>
      <c r="D15" s="119">
        <f t="shared" ref="D15:AP15" si="2">D$5</f>
        <v>210848000</v>
      </c>
      <c r="E15" s="119">
        <f t="shared" si="2"/>
        <v>209794000</v>
      </c>
      <c r="F15" s="119">
        <f t="shared" si="2"/>
        <v>208745000</v>
      </c>
      <c r="G15" s="119">
        <f t="shared" si="2"/>
        <v>207701000</v>
      </c>
      <c r="H15" s="119">
        <f t="shared" si="2"/>
        <v>206662000</v>
      </c>
      <c r="I15" s="119">
        <f t="shared" si="2"/>
        <v>205629000</v>
      </c>
      <c r="J15" s="119">
        <f t="shared" si="2"/>
        <v>204601000</v>
      </c>
      <c r="K15" s="119">
        <f t="shared" si="2"/>
        <v>203578000</v>
      </c>
      <c r="L15" s="119">
        <f t="shared" si="2"/>
        <v>202560000</v>
      </c>
      <c r="M15" s="119">
        <f t="shared" si="2"/>
        <v>201547000</v>
      </c>
      <c r="N15" s="119">
        <f t="shared" si="2"/>
        <v>200540000</v>
      </c>
      <c r="O15" s="119">
        <f t="shared" si="2"/>
        <v>199537000</v>
      </c>
      <c r="P15" s="119">
        <f t="shared" si="2"/>
        <v>198539000</v>
      </c>
      <c r="Q15" s="119">
        <f t="shared" si="2"/>
        <v>197547000</v>
      </c>
      <c r="R15" s="119">
        <f t="shared" si="2"/>
        <v>196559000</v>
      </c>
      <c r="S15" s="119">
        <f t="shared" si="2"/>
        <v>195576000</v>
      </c>
      <c r="T15" s="119">
        <f t="shared" si="2"/>
        <v>194598000</v>
      </c>
      <c r="U15" s="119">
        <f t="shared" si="2"/>
        <v>193625000</v>
      </c>
      <c r="V15" s="119">
        <f t="shared" si="2"/>
        <v>192657000</v>
      </c>
      <c r="W15" s="119">
        <f t="shared" si="2"/>
        <v>191694000</v>
      </c>
      <c r="X15" s="119">
        <f t="shared" si="2"/>
        <v>190735000</v>
      </c>
      <c r="Y15" s="119">
        <f t="shared" si="2"/>
        <v>189782000</v>
      </c>
      <c r="Z15" s="119">
        <f t="shared" si="2"/>
        <v>188833000</v>
      </c>
      <c r="AA15" s="119">
        <f t="shared" si="2"/>
        <v>187888000</v>
      </c>
      <c r="AB15" s="119">
        <f t="shared" si="2"/>
        <v>0</v>
      </c>
      <c r="AC15" s="119">
        <f t="shared" si="2"/>
        <v>0</v>
      </c>
      <c r="AD15" s="119">
        <f t="shared" si="2"/>
        <v>0</v>
      </c>
      <c r="AE15" s="119">
        <f t="shared" si="2"/>
        <v>0</v>
      </c>
      <c r="AF15" s="119">
        <f t="shared" si="2"/>
        <v>0</v>
      </c>
      <c r="AG15" s="119">
        <f t="shared" si="2"/>
        <v>0</v>
      </c>
      <c r="AH15" s="119">
        <f t="shared" si="2"/>
        <v>0</v>
      </c>
      <c r="AI15" s="119">
        <f t="shared" si="2"/>
        <v>0</v>
      </c>
      <c r="AJ15" s="119">
        <f t="shared" si="2"/>
        <v>0</v>
      </c>
      <c r="AK15" s="119">
        <f t="shared" si="2"/>
        <v>0</v>
      </c>
      <c r="AL15" s="119">
        <f t="shared" si="2"/>
        <v>0</v>
      </c>
      <c r="AM15" s="119">
        <f t="shared" si="2"/>
        <v>0</v>
      </c>
      <c r="AN15" s="119">
        <f t="shared" si="2"/>
        <v>0</v>
      </c>
      <c r="AO15" s="119">
        <f t="shared" si="2"/>
        <v>0</v>
      </c>
      <c r="AP15" s="119">
        <f t="shared" si="2"/>
        <v>0</v>
      </c>
    </row>
    <row r="16" spans="1:42" x14ac:dyDescent="0.2">
      <c r="A16" s="87" t="s">
        <v>10</v>
      </c>
      <c r="B16" s="302">
        <f t="array" ref="B16:AP17">Inputs!C146:AQ147</f>
        <v>0</v>
      </c>
      <c r="C16" s="302">
        <v>4</v>
      </c>
      <c r="D16" s="302">
        <v>4.04</v>
      </c>
      <c r="E16" s="302">
        <v>4.0804</v>
      </c>
      <c r="F16" s="302">
        <v>4.1212</v>
      </c>
      <c r="G16" s="302">
        <v>4.16242</v>
      </c>
      <c r="H16" s="302">
        <v>4.20404</v>
      </c>
      <c r="I16" s="302">
        <v>4.2460800000000001</v>
      </c>
      <c r="J16" s="302">
        <v>4.2885400000000002</v>
      </c>
      <c r="K16" s="302">
        <v>4.3314300000000001</v>
      </c>
      <c r="L16" s="302">
        <v>4.3747400000000001</v>
      </c>
      <c r="M16" s="302">
        <v>4.4184900000000003</v>
      </c>
      <c r="N16" s="302">
        <v>4.4626700000000001</v>
      </c>
      <c r="O16" s="302">
        <v>4.5072999999999999</v>
      </c>
      <c r="P16" s="302">
        <v>4.5523699999999998</v>
      </c>
      <c r="Q16" s="302">
        <v>4.5979000000000001</v>
      </c>
      <c r="R16" s="302">
        <v>4.6438800000000002</v>
      </c>
      <c r="S16" s="302">
        <v>4.6903100000000002</v>
      </c>
      <c r="T16" s="302">
        <v>4.7372199999999998</v>
      </c>
      <c r="U16" s="302">
        <v>4.7845899999999997</v>
      </c>
      <c r="V16" s="302">
        <v>4.8324400000000001</v>
      </c>
      <c r="W16" s="302">
        <v>4.8807600000000004</v>
      </c>
      <c r="X16" s="302">
        <v>4.92957</v>
      </c>
      <c r="Y16" s="302">
        <v>4.9788600000000001</v>
      </c>
      <c r="Z16" s="302">
        <v>5.0286499999999998</v>
      </c>
      <c r="AA16" s="302">
        <v>5.0789400000000002</v>
      </c>
      <c r="AB16" s="302">
        <v>0</v>
      </c>
      <c r="AC16" s="302">
        <v>0</v>
      </c>
      <c r="AD16" s="302">
        <v>0</v>
      </c>
      <c r="AE16" s="302">
        <v>0</v>
      </c>
      <c r="AF16" s="302">
        <v>0</v>
      </c>
      <c r="AG16" s="302">
        <v>0</v>
      </c>
      <c r="AH16" s="302">
        <v>0</v>
      </c>
      <c r="AI16" s="302">
        <v>0</v>
      </c>
      <c r="AJ16" s="302">
        <v>0</v>
      </c>
      <c r="AK16" s="302">
        <v>0</v>
      </c>
      <c r="AL16" s="302">
        <v>0</v>
      </c>
      <c r="AM16" s="302">
        <v>0</v>
      </c>
      <c r="AN16" s="302">
        <v>0</v>
      </c>
      <c r="AO16" s="302">
        <v>0</v>
      </c>
      <c r="AP16" s="302">
        <v>0</v>
      </c>
    </row>
    <row r="17" spans="1:42" x14ac:dyDescent="0.2">
      <c r="A17" s="87" t="s">
        <v>427</v>
      </c>
      <c r="B17" s="119">
        <v>0</v>
      </c>
      <c r="C17" s="125">
        <v>8476300</v>
      </c>
      <c r="D17" s="125">
        <v>8518260</v>
      </c>
      <c r="E17" s="125">
        <v>8560420</v>
      </c>
      <c r="F17" s="125">
        <v>8602800</v>
      </c>
      <c r="G17" s="125">
        <v>8645380</v>
      </c>
      <c r="H17" s="125">
        <v>8688170</v>
      </c>
      <c r="I17" s="125">
        <v>8731180</v>
      </c>
      <c r="J17" s="125">
        <v>8774400</v>
      </c>
      <c r="K17" s="125">
        <v>8817830</v>
      </c>
      <c r="L17" s="125">
        <v>8861480</v>
      </c>
      <c r="M17" s="125">
        <v>8905350</v>
      </c>
      <c r="N17" s="125">
        <v>8949430</v>
      </c>
      <c r="O17" s="125">
        <v>8993730</v>
      </c>
      <c r="P17" s="125">
        <v>9038250</v>
      </c>
      <c r="Q17" s="125">
        <v>9082980</v>
      </c>
      <c r="R17" s="125">
        <v>9127950</v>
      </c>
      <c r="S17" s="125">
        <v>9173130</v>
      </c>
      <c r="T17" s="125">
        <v>9218540</v>
      </c>
      <c r="U17" s="125">
        <v>9264170</v>
      </c>
      <c r="V17" s="125">
        <v>9310030</v>
      </c>
      <c r="W17" s="125">
        <v>9356110</v>
      </c>
      <c r="X17" s="125">
        <v>9402420</v>
      </c>
      <c r="Y17" s="125">
        <v>9448960</v>
      </c>
      <c r="Z17" s="125">
        <v>9495740</v>
      </c>
      <c r="AA17" s="125">
        <v>9542740</v>
      </c>
      <c r="AB17" s="125">
        <v>0</v>
      </c>
      <c r="AC17" s="125">
        <v>0</v>
      </c>
      <c r="AD17" s="125">
        <v>0</v>
      </c>
      <c r="AE17" s="125">
        <v>0</v>
      </c>
      <c r="AF17" s="125">
        <v>0</v>
      </c>
      <c r="AG17" s="125">
        <v>0</v>
      </c>
      <c r="AH17" s="125">
        <v>0</v>
      </c>
      <c r="AI17" s="125">
        <v>0</v>
      </c>
      <c r="AJ17" s="125">
        <v>0</v>
      </c>
      <c r="AK17" s="125">
        <v>0</v>
      </c>
      <c r="AL17" s="125">
        <v>0</v>
      </c>
      <c r="AM17" s="125">
        <v>0</v>
      </c>
      <c r="AN17" s="125">
        <v>0</v>
      </c>
      <c r="AO17" s="125">
        <v>0</v>
      </c>
      <c r="AP17" s="125">
        <v>0</v>
      </c>
    </row>
    <row r="18" spans="1:42" x14ac:dyDescent="0.2">
      <c r="A18" s="18" t="s">
        <v>388</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row>
    <row r="19" spans="1:42" x14ac:dyDescent="0.2">
      <c r="A19" s="87" t="s">
        <v>381</v>
      </c>
      <c r="B19" s="119">
        <f t="array" ref="B19:AP21">Inputs!C148:AQ150</f>
        <v>0</v>
      </c>
      <c r="C19" s="119">
        <v>0</v>
      </c>
      <c r="D19" s="119">
        <v>0</v>
      </c>
      <c r="E19" s="119">
        <v>0</v>
      </c>
      <c r="F19" s="119">
        <v>0</v>
      </c>
      <c r="G19" s="119">
        <v>0</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19">
        <v>0</v>
      </c>
      <c r="Y19" s="119">
        <v>0</v>
      </c>
      <c r="Z19" s="119">
        <v>0</v>
      </c>
      <c r="AA19" s="119">
        <v>0</v>
      </c>
      <c r="AB19" s="119">
        <v>0</v>
      </c>
      <c r="AC19" s="119">
        <v>0</v>
      </c>
      <c r="AD19" s="119">
        <v>0</v>
      </c>
      <c r="AE19" s="119">
        <v>0</v>
      </c>
      <c r="AF19" s="119">
        <v>0</v>
      </c>
      <c r="AG19" s="119">
        <v>0</v>
      </c>
      <c r="AH19" s="119">
        <v>0</v>
      </c>
      <c r="AI19" s="119">
        <v>0</v>
      </c>
      <c r="AJ19" s="119">
        <v>0</v>
      </c>
      <c r="AK19" s="119">
        <v>0</v>
      </c>
      <c r="AL19" s="119">
        <v>0</v>
      </c>
      <c r="AM19" s="119">
        <v>0</v>
      </c>
      <c r="AN19" s="119">
        <v>0</v>
      </c>
      <c r="AO19" s="119">
        <v>0</v>
      </c>
      <c r="AP19" s="119">
        <v>0</v>
      </c>
    </row>
    <row r="20" spans="1:42" x14ac:dyDescent="0.2">
      <c r="A20" s="87" t="s">
        <v>380</v>
      </c>
      <c r="B20" s="119">
        <v>0</v>
      </c>
      <c r="C20" s="119">
        <v>0</v>
      </c>
      <c r="D20" s="119">
        <v>0</v>
      </c>
      <c r="E20" s="119">
        <v>0</v>
      </c>
      <c r="F20" s="119">
        <v>0</v>
      </c>
      <c r="G20" s="119">
        <v>0</v>
      </c>
      <c r="H20" s="119">
        <v>0</v>
      </c>
      <c r="I20" s="119">
        <v>0</v>
      </c>
      <c r="J20" s="119">
        <v>0</v>
      </c>
      <c r="K20" s="119">
        <v>0</v>
      </c>
      <c r="L20" s="119">
        <v>0</v>
      </c>
      <c r="M20" s="119">
        <v>0</v>
      </c>
      <c r="N20" s="119">
        <v>0</v>
      </c>
      <c r="O20" s="119">
        <v>0</v>
      </c>
      <c r="P20" s="119">
        <v>0</v>
      </c>
      <c r="Q20" s="119">
        <v>0</v>
      </c>
      <c r="R20" s="119">
        <v>0</v>
      </c>
      <c r="S20" s="119">
        <v>0</v>
      </c>
      <c r="T20" s="119">
        <v>0</v>
      </c>
      <c r="U20" s="119">
        <v>0</v>
      </c>
      <c r="V20" s="119">
        <v>0</v>
      </c>
      <c r="W20" s="119">
        <v>0</v>
      </c>
      <c r="X20" s="119">
        <v>0</v>
      </c>
      <c r="Y20" s="119">
        <v>0</v>
      </c>
      <c r="Z20" s="119">
        <v>0</v>
      </c>
      <c r="AA20" s="119">
        <v>0</v>
      </c>
      <c r="AB20" s="119">
        <v>0</v>
      </c>
      <c r="AC20" s="119">
        <v>0</v>
      </c>
      <c r="AD20" s="119">
        <v>0</v>
      </c>
      <c r="AE20" s="119">
        <v>0</v>
      </c>
      <c r="AF20" s="119">
        <v>0</v>
      </c>
      <c r="AG20" s="119">
        <v>0</v>
      </c>
      <c r="AH20" s="119">
        <v>0</v>
      </c>
      <c r="AI20" s="119">
        <v>0</v>
      </c>
      <c r="AJ20" s="119">
        <v>0</v>
      </c>
      <c r="AK20" s="119">
        <v>0</v>
      </c>
      <c r="AL20" s="119">
        <v>0</v>
      </c>
      <c r="AM20" s="119">
        <v>0</v>
      </c>
      <c r="AN20" s="119">
        <v>0</v>
      </c>
      <c r="AO20" s="119">
        <v>0</v>
      </c>
      <c r="AP20" s="119">
        <v>0</v>
      </c>
    </row>
    <row r="21" spans="1:42" x14ac:dyDescent="0.2">
      <c r="A21" s="350" t="s">
        <v>428</v>
      </c>
      <c r="B21" s="119">
        <v>0</v>
      </c>
      <c r="C21" s="119">
        <v>0</v>
      </c>
      <c r="D21" s="119">
        <v>0</v>
      </c>
      <c r="E21" s="119">
        <v>0</v>
      </c>
      <c r="F21" s="119">
        <v>0</v>
      </c>
      <c r="G21" s="119">
        <v>0</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19">
        <v>0</v>
      </c>
      <c r="Y21" s="119">
        <v>0</v>
      </c>
      <c r="Z21" s="119">
        <v>0</v>
      </c>
      <c r="AA21" s="119">
        <v>0</v>
      </c>
      <c r="AB21" s="119">
        <v>0</v>
      </c>
      <c r="AC21" s="119">
        <v>0</v>
      </c>
      <c r="AD21" s="119">
        <v>0</v>
      </c>
      <c r="AE21" s="119">
        <v>0</v>
      </c>
      <c r="AF21" s="119">
        <v>0</v>
      </c>
      <c r="AG21" s="119">
        <v>0</v>
      </c>
      <c r="AH21" s="119">
        <v>0</v>
      </c>
      <c r="AI21" s="119">
        <v>0</v>
      </c>
      <c r="AJ21" s="119">
        <v>0</v>
      </c>
      <c r="AK21" s="119">
        <v>0</v>
      </c>
      <c r="AL21" s="119">
        <v>0</v>
      </c>
      <c r="AM21" s="119">
        <v>0</v>
      </c>
      <c r="AN21" s="119">
        <v>0</v>
      </c>
      <c r="AO21" s="119">
        <v>0</v>
      </c>
      <c r="AP21" s="119">
        <v>0</v>
      </c>
    </row>
    <row r="22" spans="1:42" x14ac:dyDescent="0.2">
      <c r="A22" s="4" t="s">
        <v>345</v>
      </c>
      <c r="B22" s="119"/>
      <c r="C22" s="119">
        <f>C$651</f>
        <v>0</v>
      </c>
      <c r="D22" s="119">
        <f t="shared" ref="D22:AP22" si="3">D$651</f>
        <v>0</v>
      </c>
      <c r="E22" s="119">
        <f t="shared" si="3"/>
        <v>0</v>
      </c>
      <c r="F22" s="119">
        <f t="shared" si="3"/>
        <v>0</v>
      </c>
      <c r="G22" s="119">
        <f t="shared" si="3"/>
        <v>0</v>
      </c>
      <c r="H22" s="119">
        <f t="shared" si="3"/>
        <v>0</v>
      </c>
      <c r="I22" s="119">
        <f t="shared" si="3"/>
        <v>0</v>
      </c>
      <c r="J22" s="119">
        <f t="shared" si="3"/>
        <v>0</v>
      </c>
      <c r="K22" s="119">
        <f t="shared" si="3"/>
        <v>0</v>
      </c>
      <c r="L22" s="119">
        <f t="shared" si="3"/>
        <v>0</v>
      </c>
      <c r="M22" s="119">
        <f t="shared" si="3"/>
        <v>0</v>
      </c>
      <c r="N22" s="119">
        <f t="shared" si="3"/>
        <v>0</v>
      </c>
      <c r="O22" s="119">
        <f t="shared" si="3"/>
        <v>0</v>
      </c>
      <c r="P22" s="119">
        <f t="shared" si="3"/>
        <v>0</v>
      </c>
      <c r="Q22" s="119">
        <f t="shared" si="3"/>
        <v>0</v>
      </c>
      <c r="R22" s="119">
        <f t="shared" si="3"/>
        <v>0</v>
      </c>
      <c r="S22" s="119">
        <f t="shared" si="3"/>
        <v>0</v>
      </c>
      <c r="T22" s="119">
        <f t="shared" si="3"/>
        <v>0</v>
      </c>
      <c r="U22" s="119">
        <f t="shared" si="3"/>
        <v>0</v>
      </c>
      <c r="V22" s="119">
        <f t="shared" si="3"/>
        <v>0</v>
      </c>
      <c r="W22" s="119">
        <f t="shared" si="3"/>
        <v>0</v>
      </c>
      <c r="X22" s="119">
        <f t="shared" si="3"/>
        <v>0</v>
      </c>
      <c r="Y22" s="119">
        <f t="shared" si="3"/>
        <v>0</v>
      </c>
      <c r="Z22" s="119">
        <f t="shared" si="3"/>
        <v>0</v>
      </c>
      <c r="AA22" s="119">
        <f t="shared" si="3"/>
        <v>0</v>
      </c>
      <c r="AB22" s="119">
        <f t="shared" si="3"/>
        <v>0</v>
      </c>
      <c r="AC22" s="119">
        <f t="shared" si="3"/>
        <v>0</v>
      </c>
      <c r="AD22" s="119">
        <f t="shared" si="3"/>
        <v>0</v>
      </c>
      <c r="AE22" s="119">
        <f t="shared" si="3"/>
        <v>0</v>
      </c>
      <c r="AF22" s="119">
        <f t="shared" si="3"/>
        <v>0</v>
      </c>
      <c r="AG22" s="119">
        <f t="shared" si="3"/>
        <v>0</v>
      </c>
      <c r="AH22" s="119">
        <f t="shared" si="3"/>
        <v>0</v>
      </c>
      <c r="AI22" s="119">
        <f t="shared" si="3"/>
        <v>0</v>
      </c>
      <c r="AJ22" s="119">
        <f t="shared" si="3"/>
        <v>0</v>
      </c>
      <c r="AK22" s="119">
        <f t="shared" si="3"/>
        <v>0</v>
      </c>
      <c r="AL22" s="119">
        <f t="shared" si="3"/>
        <v>0</v>
      </c>
      <c r="AM22" s="119">
        <f t="shared" si="3"/>
        <v>0</v>
      </c>
      <c r="AN22" s="119">
        <f t="shared" si="3"/>
        <v>0</v>
      </c>
      <c r="AO22" s="119">
        <f t="shared" si="3"/>
        <v>0</v>
      </c>
      <c r="AP22" s="119">
        <f t="shared" si="3"/>
        <v>0</v>
      </c>
    </row>
    <row r="23" spans="1:42" x14ac:dyDescent="0.2">
      <c r="A23" s="18" t="s">
        <v>249</v>
      </c>
      <c r="B23" s="119"/>
      <c r="C23" s="119">
        <f t="shared" ref="C23:AP23" si="4">IF(C2=analysis_period,total_installed_cost*salvage_percentage/100,0)</f>
        <v>0</v>
      </c>
      <c r="D23" s="119">
        <f t="shared" si="4"/>
        <v>0</v>
      </c>
      <c r="E23" s="119">
        <f t="shared" si="4"/>
        <v>0</v>
      </c>
      <c r="F23" s="119">
        <f t="shared" si="4"/>
        <v>0</v>
      </c>
      <c r="G23" s="119">
        <f t="shared" si="4"/>
        <v>0</v>
      </c>
      <c r="H23" s="119">
        <f t="shared" si="4"/>
        <v>0</v>
      </c>
      <c r="I23" s="119">
        <f t="shared" si="4"/>
        <v>0</v>
      </c>
      <c r="J23" s="119">
        <f t="shared" si="4"/>
        <v>0</v>
      </c>
      <c r="K23" s="119">
        <f t="shared" si="4"/>
        <v>0</v>
      </c>
      <c r="L23" s="119">
        <f t="shared" si="4"/>
        <v>0</v>
      </c>
      <c r="M23" s="119">
        <f t="shared" si="4"/>
        <v>0</v>
      </c>
      <c r="N23" s="119">
        <f t="shared" si="4"/>
        <v>0</v>
      </c>
      <c r="O23" s="119">
        <f t="shared" si="4"/>
        <v>0</v>
      </c>
      <c r="P23" s="119">
        <f t="shared" si="4"/>
        <v>0</v>
      </c>
      <c r="Q23" s="119">
        <f t="shared" si="4"/>
        <v>0</v>
      </c>
      <c r="R23" s="119">
        <f t="shared" si="4"/>
        <v>0</v>
      </c>
      <c r="S23" s="119">
        <f t="shared" si="4"/>
        <v>0</v>
      </c>
      <c r="T23" s="119">
        <f t="shared" si="4"/>
        <v>0</v>
      </c>
      <c r="U23" s="119">
        <f t="shared" si="4"/>
        <v>0</v>
      </c>
      <c r="V23" s="119">
        <f t="shared" si="4"/>
        <v>0</v>
      </c>
      <c r="W23" s="119">
        <f t="shared" si="4"/>
        <v>0</v>
      </c>
      <c r="X23" s="119">
        <f t="shared" si="4"/>
        <v>0</v>
      </c>
      <c r="Y23" s="119">
        <f t="shared" si="4"/>
        <v>0</v>
      </c>
      <c r="Z23" s="119">
        <f t="shared" si="4"/>
        <v>0</v>
      </c>
      <c r="AA23" s="119">
        <f t="shared" si="4"/>
        <v>0</v>
      </c>
      <c r="AB23" s="119">
        <f t="shared" si="4"/>
        <v>0</v>
      </c>
      <c r="AC23" s="119">
        <f t="shared" si="4"/>
        <v>0</v>
      </c>
      <c r="AD23" s="119">
        <f t="shared" si="4"/>
        <v>0</v>
      </c>
      <c r="AE23" s="119">
        <f t="shared" si="4"/>
        <v>0</v>
      </c>
      <c r="AF23" s="119">
        <f t="shared" si="4"/>
        <v>0</v>
      </c>
      <c r="AG23" s="119">
        <f t="shared" si="4"/>
        <v>0</v>
      </c>
      <c r="AH23" s="119">
        <f t="shared" si="4"/>
        <v>0</v>
      </c>
      <c r="AI23" s="119">
        <f t="shared" si="4"/>
        <v>0</v>
      </c>
      <c r="AJ23" s="119">
        <f t="shared" si="4"/>
        <v>0</v>
      </c>
      <c r="AK23" s="119">
        <f t="shared" si="4"/>
        <v>0</v>
      </c>
      <c r="AL23" s="119">
        <f t="shared" si="4"/>
        <v>0</v>
      </c>
      <c r="AM23" s="119">
        <f t="shared" si="4"/>
        <v>0</v>
      </c>
      <c r="AN23" s="119">
        <f t="shared" si="4"/>
        <v>0</v>
      </c>
      <c r="AO23" s="119">
        <f t="shared" si="4"/>
        <v>0</v>
      </c>
      <c r="AP23" s="119">
        <f t="shared" si="4"/>
        <v>0</v>
      </c>
    </row>
    <row r="24" spans="1:42" x14ac:dyDescent="0.2">
      <c r="A24" s="205" t="s">
        <v>70</v>
      </c>
      <c r="B24" s="137"/>
      <c r="C24" s="137">
        <f>IF(C2&lt;=analysis_period,C$17+SUM(C19:C23),0)</f>
        <v>8476300</v>
      </c>
      <c r="D24" s="137">
        <f t="shared" ref="D24:AP24" si="5">IF(D2&lt;=analysis_period,D$17+SUM(D19:D23),0)</f>
        <v>8518260</v>
      </c>
      <c r="E24" s="137">
        <f t="shared" si="5"/>
        <v>8560420</v>
      </c>
      <c r="F24" s="137">
        <f t="shared" si="5"/>
        <v>8602800</v>
      </c>
      <c r="G24" s="137">
        <f t="shared" si="5"/>
        <v>8645380</v>
      </c>
      <c r="H24" s="137">
        <f t="shared" si="5"/>
        <v>8688170</v>
      </c>
      <c r="I24" s="137">
        <f t="shared" si="5"/>
        <v>8731180</v>
      </c>
      <c r="J24" s="137">
        <f t="shared" si="5"/>
        <v>8774400</v>
      </c>
      <c r="K24" s="137">
        <f t="shared" si="5"/>
        <v>8817830</v>
      </c>
      <c r="L24" s="137">
        <f t="shared" si="5"/>
        <v>8861480</v>
      </c>
      <c r="M24" s="137">
        <f t="shared" si="5"/>
        <v>8905350</v>
      </c>
      <c r="N24" s="137">
        <f t="shared" si="5"/>
        <v>8949430</v>
      </c>
      <c r="O24" s="137">
        <f t="shared" si="5"/>
        <v>8993730</v>
      </c>
      <c r="P24" s="137">
        <f t="shared" si="5"/>
        <v>9038250</v>
      </c>
      <c r="Q24" s="137">
        <f t="shared" si="5"/>
        <v>9082980</v>
      </c>
      <c r="R24" s="137">
        <f t="shared" si="5"/>
        <v>9127950</v>
      </c>
      <c r="S24" s="137">
        <f t="shared" si="5"/>
        <v>9173130</v>
      </c>
      <c r="T24" s="137">
        <f t="shared" si="5"/>
        <v>9218540</v>
      </c>
      <c r="U24" s="137">
        <f t="shared" si="5"/>
        <v>9264170</v>
      </c>
      <c r="V24" s="137">
        <f t="shared" si="5"/>
        <v>9310030</v>
      </c>
      <c r="W24" s="137">
        <f t="shared" si="5"/>
        <v>9356110</v>
      </c>
      <c r="X24" s="137">
        <f t="shared" si="5"/>
        <v>9402420</v>
      </c>
      <c r="Y24" s="137">
        <f t="shared" si="5"/>
        <v>9448960</v>
      </c>
      <c r="Z24" s="137">
        <f t="shared" si="5"/>
        <v>9495740</v>
      </c>
      <c r="AA24" s="137">
        <f t="shared" si="5"/>
        <v>9542740</v>
      </c>
      <c r="AB24" s="137">
        <f t="shared" si="5"/>
        <v>0</v>
      </c>
      <c r="AC24" s="137">
        <f t="shared" si="5"/>
        <v>0</v>
      </c>
      <c r="AD24" s="137">
        <f t="shared" si="5"/>
        <v>0</v>
      </c>
      <c r="AE24" s="137">
        <f t="shared" si="5"/>
        <v>0</v>
      </c>
      <c r="AF24" s="137">
        <f t="shared" si="5"/>
        <v>0</v>
      </c>
      <c r="AG24" s="137">
        <f t="shared" si="5"/>
        <v>0</v>
      </c>
      <c r="AH24" s="137">
        <f t="shared" si="5"/>
        <v>0</v>
      </c>
      <c r="AI24" s="137">
        <f t="shared" si="5"/>
        <v>0</v>
      </c>
      <c r="AJ24" s="137">
        <f t="shared" si="5"/>
        <v>0</v>
      </c>
      <c r="AK24" s="137">
        <f t="shared" si="5"/>
        <v>0</v>
      </c>
      <c r="AL24" s="137">
        <f t="shared" si="5"/>
        <v>0</v>
      </c>
      <c r="AM24" s="137">
        <f t="shared" si="5"/>
        <v>0</v>
      </c>
      <c r="AN24" s="137">
        <f t="shared" si="5"/>
        <v>0</v>
      </c>
      <c r="AO24" s="137">
        <f t="shared" si="5"/>
        <v>0</v>
      </c>
      <c r="AP24" s="137">
        <f t="shared" si="5"/>
        <v>0</v>
      </c>
    </row>
    <row r="25" spans="1:42" x14ac:dyDescent="0.2">
      <c r="A25" s="18"/>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row>
    <row r="26" spans="1:42" x14ac:dyDescent="0.2">
      <c r="A26" s="18" t="s">
        <v>101</v>
      </c>
      <c r="C26" s="119">
        <f>PropertyTaxAssessedValue</f>
        <v>106498000</v>
      </c>
      <c r="D26" s="119">
        <f t="shared" ref="D26:AP26" si="6">IF(D$2&lt;=analysis_period,PropertyTaxAssessedValue*(100-(D$2-1)*prop_tax_assessed_decline)/100,0)</f>
        <v>106498000</v>
      </c>
      <c r="E26" s="119">
        <f t="shared" si="6"/>
        <v>106498000</v>
      </c>
      <c r="F26" s="119">
        <f t="shared" si="6"/>
        <v>106498000</v>
      </c>
      <c r="G26" s="119">
        <f t="shared" si="6"/>
        <v>106498000</v>
      </c>
      <c r="H26" s="119">
        <f t="shared" si="6"/>
        <v>106498000</v>
      </c>
      <c r="I26" s="119">
        <f t="shared" si="6"/>
        <v>106498000</v>
      </c>
      <c r="J26" s="119">
        <f t="shared" si="6"/>
        <v>106498000</v>
      </c>
      <c r="K26" s="119">
        <f t="shared" si="6"/>
        <v>106498000</v>
      </c>
      <c r="L26" s="119">
        <f t="shared" si="6"/>
        <v>106498000</v>
      </c>
      <c r="M26" s="119">
        <f t="shared" si="6"/>
        <v>106498000</v>
      </c>
      <c r="N26" s="119">
        <f t="shared" si="6"/>
        <v>106498000</v>
      </c>
      <c r="O26" s="119">
        <f t="shared" si="6"/>
        <v>106498000</v>
      </c>
      <c r="P26" s="119">
        <f t="shared" si="6"/>
        <v>106498000</v>
      </c>
      <c r="Q26" s="119">
        <f t="shared" si="6"/>
        <v>106498000</v>
      </c>
      <c r="R26" s="119">
        <f t="shared" si="6"/>
        <v>106498000</v>
      </c>
      <c r="S26" s="119">
        <f t="shared" si="6"/>
        <v>106498000</v>
      </c>
      <c r="T26" s="119">
        <f t="shared" si="6"/>
        <v>106498000</v>
      </c>
      <c r="U26" s="119">
        <f t="shared" si="6"/>
        <v>106498000</v>
      </c>
      <c r="V26" s="119">
        <f t="shared" si="6"/>
        <v>106498000</v>
      </c>
      <c r="W26" s="119">
        <f t="shared" si="6"/>
        <v>106498000</v>
      </c>
      <c r="X26" s="119">
        <f t="shared" si="6"/>
        <v>106498000</v>
      </c>
      <c r="Y26" s="119">
        <f t="shared" si="6"/>
        <v>106498000</v>
      </c>
      <c r="Z26" s="119">
        <f t="shared" si="6"/>
        <v>106498000</v>
      </c>
      <c r="AA26" s="119">
        <f t="shared" si="6"/>
        <v>106498000</v>
      </c>
      <c r="AB26" s="119">
        <f t="shared" si="6"/>
        <v>0</v>
      </c>
      <c r="AC26" s="119">
        <f t="shared" si="6"/>
        <v>0</v>
      </c>
      <c r="AD26" s="119">
        <f t="shared" si="6"/>
        <v>0</v>
      </c>
      <c r="AE26" s="119">
        <f t="shared" si="6"/>
        <v>0</v>
      </c>
      <c r="AF26" s="119">
        <f t="shared" si="6"/>
        <v>0</v>
      </c>
      <c r="AG26" s="119">
        <f t="shared" si="6"/>
        <v>0</v>
      </c>
      <c r="AH26" s="119">
        <f t="shared" si="6"/>
        <v>0</v>
      </c>
      <c r="AI26" s="119">
        <f t="shared" si="6"/>
        <v>0</v>
      </c>
      <c r="AJ26" s="119">
        <f t="shared" si="6"/>
        <v>0</v>
      </c>
      <c r="AK26" s="119">
        <f t="shared" si="6"/>
        <v>0</v>
      </c>
      <c r="AL26" s="119">
        <f t="shared" si="6"/>
        <v>0</v>
      </c>
      <c r="AM26" s="119">
        <f t="shared" si="6"/>
        <v>0</v>
      </c>
      <c r="AN26" s="119">
        <f t="shared" si="6"/>
        <v>0</v>
      </c>
      <c r="AO26" s="119">
        <f t="shared" si="6"/>
        <v>0</v>
      </c>
      <c r="AP26" s="119">
        <f t="shared" si="6"/>
        <v>0</v>
      </c>
    </row>
    <row r="27" spans="1:42" x14ac:dyDescent="0.2">
      <c r="A27" s="22"/>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row>
    <row r="28" spans="1:42" x14ac:dyDescent="0.2">
      <c r="A28" s="20" t="s">
        <v>209</v>
      </c>
      <c r="C28" s="15"/>
      <c r="D28" s="15"/>
      <c r="E28" s="15"/>
      <c r="F28" s="15"/>
      <c r="G28" s="15"/>
      <c r="H28" s="15"/>
      <c r="I28" s="15"/>
      <c r="J28" s="15"/>
      <c r="K28" s="15"/>
      <c r="L28" s="15"/>
      <c r="M28" s="15"/>
      <c r="N28" s="15"/>
      <c r="O28" s="15"/>
      <c r="P28" s="15"/>
      <c r="Q28" s="15"/>
      <c r="R28" s="15"/>
      <c r="S28" s="15"/>
    </row>
    <row r="29" spans="1:42" x14ac:dyDescent="0.2">
      <c r="A29" s="4" t="s">
        <v>190</v>
      </c>
      <c r="C29" s="15"/>
      <c r="D29" s="15"/>
      <c r="E29" s="15"/>
      <c r="F29" s="15"/>
      <c r="G29" s="15"/>
      <c r="H29" s="15"/>
      <c r="I29" s="15"/>
      <c r="J29" s="15"/>
      <c r="K29" s="15"/>
      <c r="L29" s="15"/>
      <c r="M29" s="15"/>
      <c r="N29" s="15"/>
      <c r="O29" s="15"/>
      <c r="P29" s="15"/>
      <c r="Q29" s="15"/>
      <c r="R29" s="15"/>
      <c r="S29" s="15"/>
    </row>
    <row r="30" spans="1:42" x14ac:dyDescent="0.2">
      <c r="A30" s="87" t="s">
        <v>191</v>
      </c>
      <c r="C30" s="119">
        <f>IF(C$2&lt;=analysis_period,IF(om_fixed="n/a",Inputs!D152,om_fixed*(1+inflation_rate/100+om_fixed_escal/100)^B$2),0)</f>
        <v>0</v>
      </c>
      <c r="D30" s="119">
        <f>IF(D$2&lt;=analysis_period,IF(om_fixed="n/a",Inputs!E152,om_fixed*(1+inflation_rate/100+om_fixed_escal/100)^C$2),0)</f>
        <v>0</v>
      </c>
      <c r="E30" s="119">
        <f>IF(E$2&lt;=analysis_period,IF(om_fixed="n/a",Inputs!F152,om_fixed*(1+inflation_rate/100+om_fixed_escal/100)^D$2),0)</f>
        <v>0</v>
      </c>
      <c r="F30" s="119">
        <f>IF(F$2&lt;=analysis_period,IF(om_fixed="n/a",Inputs!G152,om_fixed*(1+inflation_rate/100+om_fixed_escal/100)^E$2),0)</f>
        <v>0</v>
      </c>
      <c r="G30" s="119">
        <f>IF(G$2&lt;=analysis_period,IF(om_fixed="n/a",Inputs!H152,om_fixed*(1+inflation_rate/100+om_fixed_escal/100)^F$2),0)</f>
        <v>0</v>
      </c>
      <c r="H30" s="119">
        <f>IF(H$2&lt;=analysis_period,IF(om_fixed="n/a",Inputs!I152,om_fixed*(1+inflation_rate/100+om_fixed_escal/100)^G$2),0)</f>
        <v>0</v>
      </c>
      <c r="I30" s="119">
        <f>IF(I$2&lt;=analysis_period,IF(om_fixed="n/a",Inputs!J152,om_fixed*(1+inflation_rate/100+om_fixed_escal/100)^H$2),0)</f>
        <v>0</v>
      </c>
      <c r="J30" s="119">
        <f>IF(J$2&lt;=analysis_period,IF(om_fixed="n/a",Inputs!K152,om_fixed*(1+inflation_rate/100+om_fixed_escal/100)^I$2),0)</f>
        <v>0</v>
      </c>
      <c r="K30" s="119">
        <f>IF(K$2&lt;=analysis_period,IF(om_fixed="n/a",Inputs!L152,om_fixed*(1+inflation_rate/100+om_fixed_escal/100)^J$2),0)</f>
        <v>0</v>
      </c>
      <c r="L30" s="119">
        <f>IF(L$2&lt;=analysis_period,IF(om_fixed="n/a",Inputs!M152,om_fixed*(1+inflation_rate/100+om_fixed_escal/100)^K$2),0)</f>
        <v>0</v>
      </c>
      <c r="M30" s="119">
        <f>IF(M$2&lt;=analysis_period,IF(om_fixed="n/a",Inputs!N152,om_fixed*(1+inflation_rate/100+om_fixed_escal/100)^L$2),0)</f>
        <v>0</v>
      </c>
      <c r="N30" s="119">
        <f>IF(N$2&lt;=analysis_period,IF(om_fixed="n/a",Inputs!O152,om_fixed*(1+inflation_rate/100+om_fixed_escal/100)^M$2),0)</f>
        <v>0</v>
      </c>
      <c r="O30" s="119">
        <f>IF(O$2&lt;=analysis_period,IF(om_fixed="n/a",Inputs!P152,om_fixed*(1+inflation_rate/100+om_fixed_escal/100)^N$2),0)</f>
        <v>0</v>
      </c>
      <c r="P30" s="119">
        <f>IF(P$2&lt;=analysis_period,IF(om_fixed="n/a",Inputs!Q152,om_fixed*(1+inflation_rate/100+om_fixed_escal/100)^O$2),0)</f>
        <v>0</v>
      </c>
      <c r="Q30" s="119">
        <f>IF(Q$2&lt;=analysis_period,IF(om_fixed="n/a",Inputs!R152,om_fixed*(1+inflation_rate/100+om_fixed_escal/100)^P$2),0)</f>
        <v>0</v>
      </c>
      <c r="R30" s="119">
        <f>IF(R$2&lt;=analysis_period,IF(om_fixed="n/a",Inputs!S152,om_fixed*(1+inflation_rate/100+om_fixed_escal/100)^Q$2),0)</f>
        <v>0</v>
      </c>
      <c r="S30" s="119">
        <f>IF(S$2&lt;=analysis_period,IF(om_fixed="n/a",Inputs!T152,om_fixed*(1+inflation_rate/100+om_fixed_escal/100)^R$2),0)</f>
        <v>0</v>
      </c>
      <c r="T30" s="119">
        <f>IF(T$2&lt;=analysis_period,IF(om_fixed="n/a",Inputs!U152,om_fixed*(1+inflation_rate/100+om_fixed_escal/100)^S$2),0)</f>
        <v>0</v>
      </c>
      <c r="U30" s="119">
        <f>IF(U$2&lt;=analysis_period,IF(om_fixed="n/a",Inputs!V152,om_fixed*(1+inflation_rate/100+om_fixed_escal/100)^T$2),0)</f>
        <v>0</v>
      </c>
      <c r="V30" s="119">
        <f>IF(V$2&lt;=analysis_period,IF(om_fixed="n/a",Inputs!W152,om_fixed*(1+inflation_rate/100+om_fixed_escal/100)^U$2),0)</f>
        <v>0</v>
      </c>
      <c r="W30" s="119">
        <f>IF(W$2&lt;=analysis_period,IF(om_fixed="n/a",Inputs!X152,om_fixed*(1+inflation_rate/100+om_fixed_escal/100)^V$2),0)</f>
        <v>0</v>
      </c>
      <c r="X30" s="119">
        <f>IF(X$2&lt;=analysis_period,IF(om_fixed="n/a",Inputs!Y152,om_fixed*(1+inflation_rate/100+om_fixed_escal/100)^W$2),0)</f>
        <v>0</v>
      </c>
      <c r="Y30" s="119">
        <f>IF(Y$2&lt;=analysis_period,IF(om_fixed="n/a",Inputs!Z152,om_fixed*(1+inflation_rate/100+om_fixed_escal/100)^X$2),0)</f>
        <v>0</v>
      </c>
      <c r="Z30" s="119">
        <f>IF(Z$2&lt;=analysis_period,IF(om_fixed="n/a",Inputs!AA152,om_fixed*(1+inflation_rate/100+om_fixed_escal/100)^Y$2),0)</f>
        <v>0</v>
      </c>
      <c r="AA30" s="119">
        <f>IF(AA$2&lt;=analysis_period,IF(om_fixed="n/a",Inputs!AB152,om_fixed*(1+inflation_rate/100+om_fixed_escal/100)^Z$2),0)</f>
        <v>0</v>
      </c>
      <c r="AB30" s="119">
        <f>IF(AB$2&lt;=analysis_period,IF(om_fixed="n/a",Inputs!AC152,om_fixed*(1+inflation_rate/100+om_fixed_escal/100)^AA$2),0)</f>
        <v>0</v>
      </c>
      <c r="AC30" s="119">
        <f>IF(AC$2&lt;=analysis_period,IF(om_fixed="n/a",Inputs!AD152,om_fixed*(1+inflation_rate/100+om_fixed_escal/100)^AB$2),0)</f>
        <v>0</v>
      </c>
      <c r="AD30" s="119">
        <f>IF(AD$2&lt;=analysis_period,IF(om_fixed="n/a",Inputs!AE152,om_fixed*(1+inflation_rate/100+om_fixed_escal/100)^AC$2),0)</f>
        <v>0</v>
      </c>
      <c r="AE30" s="119">
        <f>IF(AE$2&lt;=analysis_period,IF(om_fixed="n/a",Inputs!AF152,om_fixed*(1+inflation_rate/100+om_fixed_escal/100)^AD$2),0)</f>
        <v>0</v>
      </c>
      <c r="AF30" s="119">
        <f>IF(AF$2&lt;=analysis_period,IF(om_fixed="n/a",Inputs!AG152,om_fixed*(1+inflation_rate/100+om_fixed_escal/100)^AE$2),0)</f>
        <v>0</v>
      </c>
      <c r="AG30" s="119">
        <f>IF(AG$2&lt;=analysis_period,IF(om_fixed="n/a",Inputs!AH152,om_fixed*(1+inflation_rate/100+om_fixed_escal/100)^AF$2),0)</f>
        <v>0</v>
      </c>
      <c r="AH30" s="119">
        <f>IF(AH$2&lt;=analysis_period,IF(om_fixed="n/a",Inputs!AI152,om_fixed*(1+inflation_rate/100+om_fixed_escal/100)^AG$2),0)</f>
        <v>0</v>
      </c>
      <c r="AI30" s="119">
        <f>IF(AI$2&lt;=analysis_period,IF(om_fixed="n/a",Inputs!AJ152,om_fixed*(1+inflation_rate/100+om_fixed_escal/100)^AH$2),0)</f>
        <v>0</v>
      </c>
      <c r="AJ30" s="119">
        <f>IF(AJ$2&lt;=analysis_period,IF(om_fixed="n/a",Inputs!AK152,om_fixed*(1+inflation_rate/100+om_fixed_escal/100)^AI$2),0)</f>
        <v>0</v>
      </c>
      <c r="AK30" s="119">
        <f>IF(AK$2&lt;=analysis_period,IF(om_fixed="n/a",Inputs!AL152,om_fixed*(1+inflation_rate/100+om_fixed_escal/100)^AJ$2),0)</f>
        <v>0</v>
      </c>
      <c r="AL30" s="119">
        <f>IF(AL$2&lt;=analysis_period,IF(om_fixed="n/a",Inputs!AM152,om_fixed*(1+inflation_rate/100+om_fixed_escal/100)^AK$2),0)</f>
        <v>0</v>
      </c>
      <c r="AM30" s="119">
        <f>IF(AM$2&lt;=analysis_period,IF(om_fixed="n/a",Inputs!AN152,om_fixed*(1+inflation_rate/100+om_fixed_escal/100)^AL$2),0)</f>
        <v>0</v>
      </c>
      <c r="AN30" s="119">
        <f>IF(AN$2&lt;=analysis_period,IF(om_fixed="n/a",Inputs!AO152,om_fixed*(1+inflation_rate/100+om_fixed_escal/100)^AM$2),0)</f>
        <v>0</v>
      </c>
      <c r="AO30" s="119">
        <f>IF(AO$2&lt;=analysis_period,IF(om_fixed="n/a",Inputs!AP152,om_fixed*(1+inflation_rate/100+om_fixed_escal/100)^AN$2),0)</f>
        <v>0</v>
      </c>
      <c r="AP30" s="119">
        <f>IF(AP$2&lt;=analysis_period,IF(om_fixed="n/a",Inputs!AQ152,om_fixed*(1+inflation_rate/100+om_fixed_escal/100)^AO$2),0)</f>
        <v>0</v>
      </c>
    </row>
    <row r="31" spans="1:42" x14ac:dyDescent="0.2">
      <c r="A31" s="87" t="s">
        <v>192</v>
      </c>
    </row>
    <row r="32" spans="1:42" x14ac:dyDescent="0.2">
      <c r="A32" s="88" t="s">
        <v>11</v>
      </c>
      <c r="C32" s="153">
        <f t="shared" ref="C32:AP32" si="7">IF(C$2&lt;=analysis_period,system_capacity,0)</f>
        <v>100000</v>
      </c>
      <c r="D32" s="153">
        <f t="shared" si="7"/>
        <v>100000</v>
      </c>
      <c r="E32" s="153">
        <f t="shared" si="7"/>
        <v>100000</v>
      </c>
      <c r="F32" s="153">
        <f t="shared" si="7"/>
        <v>100000</v>
      </c>
      <c r="G32" s="153">
        <f t="shared" si="7"/>
        <v>100000</v>
      </c>
      <c r="H32" s="153">
        <f t="shared" si="7"/>
        <v>100000</v>
      </c>
      <c r="I32" s="153">
        <f t="shared" si="7"/>
        <v>100000</v>
      </c>
      <c r="J32" s="153">
        <f t="shared" si="7"/>
        <v>100000</v>
      </c>
      <c r="K32" s="153">
        <f t="shared" si="7"/>
        <v>100000</v>
      </c>
      <c r="L32" s="153">
        <f t="shared" si="7"/>
        <v>100000</v>
      </c>
      <c r="M32" s="153">
        <f t="shared" si="7"/>
        <v>100000</v>
      </c>
      <c r="N32" s="153">
        <f t="shared" si="7"/>
        <v>100000</v>
      </c>
      <c r="O32" s="153">
        <f t="shared" si="7"/>
        <v>100000</v>
      </c>
      <c r="P32" s="153">
        <f t="shared" si="7"/>
        <v>100000</v>
      </c>
      <c r="Q32" s="153">
        <f t="shared" si="7"/>
        <v>100000</v>
      </c>
      <c r="R32" s="153">
        <f t="shared" si="7"/>
        <v>100000</v>
      </c>
      <c r="S32" s="153">
        <f t="shared" si="7"/>
        <v>100000</v>
      </c>
      <c r="T32" s="153">
        <f t="shared" si="7"/>
        <v>100000</v>
      </c>
      <c r="U32" s="153">
        <f t="shared" si="7"/>
        <v>100000</v>
      </c>
      <c r="V32" s="153">
        <f t="shared" si="7"/>
        <v>100000</v>
      </c>
      <c r="W32" s="153">
        <f t="shared" si="7"/>
        <v>100000</v>
      </c>
      <c r="X32" s="153">
        <f t="shared" si="7"/>
        <v>100000</v>
      </c>
      <c r="Y32" s="153">
        <f t="shared" si="7"/>
        <v>100000</v>
      </c>
      <c r="Z32" s="153">
        <f t="shared" si="7"/>
        <v>100000</v>
      </c>
      <c r="AA32" s="153">
        <f t="shared" si="7"/>
        <v>100000</v>
      </c>
      <c r="AB32" s="153">
        <f t="shared" si="7"/>
        <v>0</v>
      </c>
      <c r="AC32" s="153">
        <f t="shared" si="7"/>
        <v>0</v>
      </c>
      <c r="AD32" s="153">
        <f t="shared" si="7"/>
        <v>0</v>
      </c>
      <c r="AE32" s="153">
        <f t="shared" si="7"/>
        <v>0</v>
      </c>
      <c r="AF32" s="153">
        <f t="shared" si="7"/>
        <v>0</v>
      </c>
      <c r="AG32" s="153">
        <f t="shared" si="7"/>
        <v>0</v>
      </c>
      <c r="AH32" s="153">
        <f t="shared" si="7"/>
        <v>0</v>
      </c>
      <c r="AI32" s="153">
        <f t="shared" si="7"/>
        <v>0</v>
      </c>
      <c r="AJ32" s="153">
        <f t="shared" si="7"/>
        <v>0</v>
      </c>
      <c r="AK32" s="153">
        <f t="shared" si="7"/>
        <v>0</v>
      </c>
      <c r="AL32" s="153">
        <f t="shared" si="7"/>
        <v>0</v>
      </c>
      <c r="AM32" s="153">
        <f t="shared" si="7"/>
        <v>0</v>
      </c>
      <c r="AN32" s="153">
        <f t="shared" si="7"/>
        <v>0</v>
      </c>
      <c r="AO32" s="153">
        <f t="shared" si="7"/>
        <v>0</v>
      </c>
      <c r="AP32" s="153">
        <f t="shared" si="7"/>
        <v>0</v>
      </c>
    </row>
    <row r="33" spans="1:42" x14ac:dyDescent="0.2">
      <c r="A33" s="88" t="s">
        <v>12</v>
      </c>
      <c r="C33" s="151">
        <f>IF(C$2&lt;=analysis_period,IF(om_capacity="n/a",Inputs!D153,om_capacity*(1+inflation_rate/100+om_capacity_escal/100)^B$2),0)</f>
        <v>15</v>
      </c>
      <c r="D33" s="151">
        <f>IF(D$2&lt;=analysis_period,IF(om_capacity="n/a",Inputs!E153,om_capacity*(1+inflation_rate/100+om_capacity_escal/100)^C$2),0)</f>
        <v>15.374999999999998</v>
      </c>
      <c r="E33" s="151">
        <f>IF(E$2&lt;=analysis_period,IF(om_capacity="n/a",Inputs!F153,om_capacity*(1+inflation_rate/100+om_capacity_escal/100)^D$2),0)</f>
        <v>15.759374999999999</v>
      </c>
      <c r="F33" s="151">
        <f>IF(F$2&lt;=analysis_period,IF(om_capacity="n/a",Inputs!G153,om_capacity*(1+inflation_rate/100+om_capacity_escal/100)^E$2),0)</f>
        <v>16.153359374999997</v>
      </c>
      <c r="G33" s="151">
        <f>IF(G$2&lt;=analysis_period,IF(om_capacity="n/a",Inputs!H153,om_capacity*(1+inflation_rate/100+om_capacity_escal/100)^F$2),0)</f>
        <v>16.557193359374995</v>
      </c>
      <c r="H33" s="151">
        <f>IF(H$2&lt;=analysis_period,IF(om_capacity="n/a",Inputs!I153,om_capacity*(1+inflation_rate/100+om_capacity_escal/100)^G$2),0)</f>
        <v>16.971123193359368</v>
      </c>
      <c r="I33" s="151">
        <f>IF(I$2&lt;=analysis_period,IF(om_capacity="n/a",Inputs!J153,om_capacity*(1+inflation_rate/100+om_capacity_escal/100)^H$2),0)</f>
        <v>17.395401273193354</v>
      </c>
      <c r="J33" s="151">
        <f>IF(J$2&lt;=analysis_period,IF(om_capacity="n/a",Inputs!K153,om_capacity*(1+inflation_rate/100+om_capacity_escal/100)^I$2),0)</f>
        <v>17.830286305023186</v>
      </c>
      <c r="K33" s="151">
        <f>IF(K$2&lt;=analysis_period,IF(om_capacity="n/a",Inputs!L153,om_capacity*(1+inflation_rate/100+om_capacity_escal/100)^J$2),0)</f>
        <v>18.276043462648765</v>
      </c>
      <c r="L33" s="151">
        <f>IF(L$2&lt;=analysis_period,IF(om_capacity="n/a",Inputs!M153,om_capacity*(1+inflation_rate/100+om_capacity_escal/100)^K$2),0)</f>
        <v>18.732944549214981</v>
      </c>
      <c r="M33" s="151">
        <f>IF(M$2&lt;=analysis_period,IF(om_capacity="n/a",Inputs!N153,om_capacity*(1+inflation_rate/100+om_capacity_escal/100)^L$2),0)</f>
        <v>19.201268162945357</v>
      </c>
      <c r="N33" s="151">
        <f>IF(N$2&lt;=analysis_period,IF(om_capacity="n/a",Inputs!O153,om_capacity*(1+inflation_rate/100+om_capacity_escal/100)^M$2),0)</f>
        <v>19.681299867018989</v>
      </c>
      <c r="O33" s="151">
        <f>IF(O$2&lt;=analysis_period,IF(om_capacity="n/a",Inputs!P153,om_capacity*(1+inflation_rate/100+om_capacity_escal/100)^N$2),0)</f>
        <v>20.173332363694463</v>
      </c>
      <c r="P33" s="151">
        <f>IF(P$2&lt;=analysis_period,IF(om_capacity="n/a",Inputs!Q153,om_capacity*(1+inflation_rate/100+om_capacity_escal/100)^O$2),0)</f>
        <v>20.677665672786823</v>
      </c>
      <c r="Q33" s="151">
        <f>IF(Q$2&lt;=analysis_period,IF(om_capacity="n/a",Inputs!R153,om_capacity*(1+inflation_rate/100+om_capacity_escal/100)^P$2),0)</f>
        <v>21.194607314606493</v>
      </c>
      <c r="R33" s="151">
        <f>IF(R$2&lt;=analysis_period,IF(om_capacity="n/a",Inputs!S153,om_capacity*(1+inflation_rate/100+om_capacity_escal/100)^Q$2),0)</f>
        <v>21.724472497471659</v>
      </c>
      <c r="S33" s="151">
        <f>IF(S$2&lt;=analysis_period,IF(om_capacity="n/a",Inputs!T153,om_capacity*(1+inflation_rate/100+om_capacity_escal/100)^R$2),0)</f>
        <v>22.267584309908447</v>
      </c>
      <c r="T33" s="151">
        <f>IF(T$2&lt;=analysis_period,IF(om_capacity="n/a",Inputs!U153,om_capacity*(1+inflation_rate/100+om_capacity_escal/100)^S$2),0)</f>
        <v>22.824273917656154</v>
      </c>
      <c r="U33" s="151">
        <f>IF(U$2&lt;=analysis_period,IF(om_capacity="n/a",Inputs!V153,om_capacity*(1+inflation_rate/100+om_capacity_escal/100)^T$2),0)</f>
        <v>23.394880765597559</v>
      </c>
      <c r="V33" s="151">
        <f>IF(V$2&lt;=analysis_period,IF(om_capacity="n/a",Inputs!W153,om_capacity*(1+inflation_rate/100+om_capacity_escal/100)^U$2),0)</f>
        <v>23.979752784737499</v>
      </c>
      <c r="W33" s="151">
        <f>IF(W$2&lt;=analysis_period,IF(om_capacity="n/a",Inputs!X153,om_capacity*(1+inflation_rate/100+om_capacity_escal/100)^V$2),0)</f>
        <v>24.579246604355934</v>
      </c>
      <c r="X33" s="151">
        <f>IF(X$2&lt;=analysis_period,IF(om_capacity="n/a",Inputs!Y153,om_capacity*(1+inflation_rate/100+om_capacity_escal/100)^W$2),0)</f>
        <v>25.193727769464829</v>
      </c>
      <c r="Y33" s="151">
        <f>IF(Y$2&lt;=analysis_period,IF(om_capacity="n/a",Inputs!Z153,om_capacity*(1+inflation_rate/100+om_capacity_escal/100)^X$2),0)</f>
        <v>25.823570963701449</v>
      </c>
      <c r="Z33" s="151">
        <f>IF(Z$2&lt;=analysis_period,IF(om_capacity="n/a",Inputs!AA153,om_capacity*(1+inflation_rate/100+om_capacity_escal/100)^Y$2),0)</f>
        <v>26.469160237793986</v>
      </c>
      <c r="AA33" s="151">
        <f>IF(AA$2&lt;=analysis_period,IF(om_capacity="n/a",Inputs!AB153,om_capacity*(1+inflation_rate/100+om_capacity_escal/100)^Z$2),0)</f>
        <v>27.130889243738835</v>
      </c>
      <c r="AB33" s="151">
        <f>IF(AB$2&lt;=analysis_period,IF(om_capacity="n/a",Inputs!AC153,om_capacity*(1+inflation_rate/100+om_capacity_escal/100)^AA$2),0)</f>
        <v>0</v>
      </c>
      <c r="AC33" s="151">
        <f>IF(AC$2&lt;=analysis_period,IF(om_capacity="n/a",Inputs!AD153,om_capacity*(1+inflation_rate/100+om_capacity_escal/100)^AB$2),0)</f>
        <v>0</v>
      </c>
      <c r="AD33" s="151">
        <f>IF(AD$2&lt;=analysis_period,IF(om_capacity="n/a",Inputs!AE153,om_capacity*(1+inflation_rate/100+om_capacity_escal/100)^AC$2),0)</f>
        <v>0</v>
      </c>
      <c r="AE33" s="151">
        <f>IF(AE$2&lt;=analysis_period,IF(om_capacity="n/a",Inputs!AF153,om_capacity*(1+inflation_rate/100+om_capacity_escal/100)^AD$2),0)</f>
        <v>0</v>
      </c>
      <c r="AF33" s="151">
        <f>IF(AF$2&lt;=analysis_period,IF(om_capacity="n/a",Inputs!AG153,om_capacity*(1+inflation_rate/100+om_capacity_escal/100)^AE$2),0)</f>
        <v>0</v>
      </c>
      <c r="AG33" s="151">
        <f>IF(AG$2&lt;=analysis_period,IF(om_capacity="n/a",Inputs!AH153,om_capacity*(1+inflation_rate/100+om_capacity_escal/100)^AF$2),0)</f>
        <v>0</v>
      </c>
      <c r="AH33" s="151">
        <f>IF(AH$2&lt;=analysis_period,IF(om_capacity="n/a",Inputs!AI153,om_capacity*(1+inflation_rate/100+om_capacity_escal/100)^AG$2),0)</f>
        <v>0</v>
      </c>
      <c r="AI33" s="151">
        <f>IF(AI$2&lt;=analysis_period,IF(om_capacity="n/a",Inputs!AJ153,om_capacity*(1+inflation_rate/100+om_capacity_escal/100)^AH$2),0)</f>
        <v>0</v>
      </c>
      <c r="AJ33" s="151">
        <f>IF(AJ$2&lt;=analysis_period,IF(om_capacity="n/a",Inputs!AK153,om_capacity*(1+inflation_rate/100+om_capacity_escal/100)^AI$2),0)</f>
        <v>0</v>
      </c>
      <c r="AK33" s="151">
        <f>IF(AK$2&lt;=analysis_period,IF(om_capacity="n/a",Inputs!AL153,om_capacity*(1+inflation_rate/100+om_capacity_escal/100)^AJ$2),0)</f>
        <v>0</v>
      </c>
      <c r="AL33" s="151">
        <f>IF(AL$2&lt;=analysis_period,IF(om_capacity="n/a",Inputs!AM153,om_capacity*(1+inflation_rate/100+om_capacity_escal/100)^AK$2),0)</f>
        <v>0</v>
      </c>
      <c r="AM33" s="151">
        <f>IF(AM$2&lt;=analysis_period,IF(om_capacity="n/a",Inputs!AN153,om_capacity*(1+inflation_rate/100+om_capacity_escal/100)^AL$2),0)</f>
        <v>0</v>
      </c>
      <c r="AN33" s="151">
        <f>IF(AN$2&lt;=analysis_period,IF(om_capacity="n/a",Inputs!AO153,om_capacity*(1+inflation_rate/100+om_capacity_escal/100)^AM$2),0)</f>
        <v>0</v>
      </c>
      <c r="AO33" s="151">
        <f>IF(AO$2&lt;=analysis_period,IF(om_capacity="n/a",Inputs!AP153,om_capacity*(1+inflation_rate/100+om_capacity_escal/100)^AN$2),0)</f>
        <v>0</v>
      </c>
      <c r="AP33" s="151">
        <f>IF(AP$2&lt;=analysis_period,IF(om_capacity="n/a",Inputs!AQ153,om_capacity*(1+inflation_rate/100+om_capacity_escal/100)^AO$2),0)</f>
        <v>0</v>
      </c>
    </row>
    <row r="34" spans="1:42" x14ac:dyDescent="0.2">
      <c r="A34" s="88" t="s">
        <v>103</v>
      </c>
      <c r="C34" s="119">
        <f>C32*C33</f>
        <v>1500000</v>
      </c>
      <c r="D34" s="119">
        <f t="shared" ref="D34:AP34" si="8">D32*D33</f>
        <v>1537499.9999999998</v>
      </c>
      <c r="E34" s="119">
        <f t="shared" si="8"/>
        <v>1575937.4999999998</v>
      </c>
      <c r="F34" s="119">
        <f t="shared" si="8"/>
        <v>1615335.9374999998</v>
      </c>
      <c r="G34" s="119">
        <f t="shared" si="8"/>
        <v>1655719.3359374995</v>
      </c>
      <c r="H34" s="119">
        <f t="shared" si="8"/>
        <v>1697112.3193359368</v>
      </c>
      <c r="I34" s="119">
        <f t="shared" si="8"/>
        <v>1739540.1273193355</v>
      </c>
      <c r="J34" s="119">
        <f t="shared" si="8"/>
        <v>1783028.6305023187</v>
      </c>
      <c r="K34" s="119">
        <f t="shared" si="8"/>
        <v>1827604.3462648764</v>
      </c>
      <c r="L34" s="119">
        <f t="shared" si="8"/>
        <v>1873294.4549214982</v>
      </c>
      <c r="M34" s="119">
        <f t="shared" si="8"/>
        <v>1920126.8162945358</v>
      </c>
      <c r="N34" s="119">
        <f t="shared" si="8"/>
        <v>1968129.986701899</v>
      </c>
      <c r="O34" s="119">
        <f t="shared" si="8"/>
        <v>2017333.2363694464</v>
      </c>
      <c r="P34" s="119">
        <f t="shared" si="8"/>
        <v>2067766.5672786823</v>
      </c>
      <c r="Q34" s="119">
        <f t="shared" si="8"/>
        <v>2119460.7314606495</v>
      </c>
      <c r="R34" s="119">
        <f t="shared" si="8"/>
        <v>2172447.2497471659</v>
      </c>
      <c r="S34" s="119">
        <f t="shared" si="8"/>
        <v>2226758.4309908445</v>
      </c>
      <c r="T34" s="119">
        <f t="shared" si="8"/>
        <v>2282427.3917656154</v>
      </c>
      <c r="U34" s="119">
        <f t="shared" si="8"/>
        <v>2339488.076559756</v>
      </c>
      <c r="V34" s="119">
        <f t="shared" si="8"/>
        <v>2397975.2784737498</v>
      </c>
      <c r="W34" s="119">
        <f t="shared" si="8"/>
        <v>2457924.6604355932</v>
      </c>
      <c r="X34" s="119">
        <f t="shared" si="8"/>
        <v>2519372.7769464827</v>
      </c>
      <c r="Y34" s="119">
        <f t="shared" si="8"/>
        <v>2582357.0963701447</v>
      </c>
      <c r="Z34" s="119">
        <f t="shared" si="8"/>
        <v>2646916.0237793988</v>
      </c>
      <c r="AA34" s="119">
        <f t="shared" si="8"/>
        <v>2713088.9243738833</v>
      </c>
      <c r="AB34" s="119">
        <f t="shared" si="8"/>
        <v>0</v>
      </c>
      <c r="AC34" s="119">
        <f t="shared" si="8"/>
        <v>0</v>
      </c>
      <c r="AD34" s="119">
        <f t="shared" si="8"/>
        <v>0</v>
      </c>
      <c r="AE34" s="119">
        <f t="shared" si="8"/>
        <v>0</v>
      </c>
      <c r="AF34" s="119">
        <f t="shared" si="8"/>
        <v>0</v>
      </c>
      <c r="AG34" s="119">
        <f t="shared" si="8"/>
        <v>0</v>
      </c>
      <c r="AH34" s="119">
        <f t="shared" si="8"/>
        <v>0</v>
      </c>
      <c r="AI34" s="119">
        <f t="shared" si="8"/>
        <v>0</v>
      </c>
      <c r="AJ34" s="119">
        <f t="shared" si="8"/>
        <v>0</v>
      </c>
      <c r="AK34" s="119">
        <f t="shared" si="8"/>
        <v>0</v>
      </c>
      <c r="AL34" s="119">
        <f t="shared" si="8"/>
        <v>0</v>
      </c>
      <c r="AM34" s="119">
        <f t="shared" si="8"/>
        <v>0</v>
      </c>
      <c r="AN34" s="119">
        <f t="shared" si="8"/>
        <v>0</v>
      </c>
      <c r="AO34" s="119">
        <f t="shared" si="8"/>
        <v>0</v>
      </c>
      <c r="AP34" s="119">
        <f t="shared" si="8"/>
        <v>0</v>
      </c>
    </row>
    <row r="35" spans="1:42" x14ac:dyDescent="0.2">
      <c r="A35" s="87" t="s">
        <v>193</v>
      </c>
    </row>
    <row r="36" spans="1:42" x14ac:dyDescent="0.2">
      <c r="A36" s="88" t="s">
        <v>14</v>
      </c>
      <c r="C36" s="119">
        <f>IF(C$8=0,C$5,C$8)/1000</f>
        <v>211907</v>
      </c>
      <c r="D36" s="119">
        <f t="shared" ref="D36:AP36" si="9">IF(D$8=0,D$5,D$8)/1000</f>
        <v>210848</v>
      </c>
      <c r="E36" s="119">
        <f t="shared" si="9"/>
        <v>209794</v>
      </c>
      <c r="F36" s="119">
        <f t="shared" si="9"/>
        <v>208745</v>
      </c>
      <c r="G36" s="119">
        <f t="shared" si="9"/>
        <v>207701</v>
      </c>
      <c r="H36" s="119">
        <f t="shared" si="9"/>
        <v>206662</v>
      </c>
      <c r="I36" s="119">
        <f t="shared" si="9"/>
        <v>205629</v>
      </c>
      <c r="J36" s="119">
        <f t="shared" si="9"/>
        <v>204601</v>
      </c>
      <c r="K36" s="119">
        <f t="shared" si="9"/>
        <v>203578</v>
      </c>
      <c r="L36" s="119">
        <f t="shared" si="9"/>
        <v>202560</v>
      </c>
      <c r="M36" s="119">
        <f t="shared" si="9"/>
        <v>201547</v>
      </c>
      <c r="N36" s="119">
        <f t="shared" si="9"/>
        <v>200540</v>
      </c>
      <c r="O36" s="119">
        <f t="shared" si="9"/>
        <v>199537</v>
      </c>
      <c r="P36" s="119">
        <f t="shared" si="9"/>
        <v>198539</v>
      </c>
      <c r="Q36" s="119">
        <f t="shared" si="9"/>
        <v>197547</v>
      </c>
      <c r="R36" s="119">
        <f t="shared" si="9"/>
        <v>196559</v>
      </c>
      <c r="S36" s="119">
        <f t="shared" si="9"/>
        <v>195576</v>
      </c>
      <c r="T36" s="119">
        <f t="shared" si="9"/>
        <v>194598</v>
      </c>
      <c r="U36" s="119">
        <f t="shared" si="9"/>
        <v>193625</v>
      </c>
      <c r="V36" s="119">
        <f t="shared" si="9"/>
        <v>192657</v>
      </c>
      <c r="W36" s="119">
        <f t="shared" si="9"/>
        <v>191694</v>
      </c>
      <c r="X36" s="119">
        <f t="shared" si="9"/>
        <v>190735</v>
      </c>
      <c r="Y36" s="119">
        <f t="shared" si="9"/>
        <v>189782</v>
      </c>
      <c r="Z36" s="119">
        <f t="shared" si="9"/>
        <v>188833</v>
      </c>
      <c r="AA36" s="119">
        <f t="shared" si="9"/>
        <v>187888</v>
      </c>
      <c r="AB36" s="119">
        <f t="shared" si="9"/>
        <v>0</v>
      </c>
      <c r="AC36" s="119">
        <f t="shared" si="9"/>
        <v>0</v>
      </c>
      <c r="AD36" s="119">
        <f t="shared" si="9"/>
        <v>0</v>
      </c>
      <c r="AE36" s="119">
        <f t="shared" si="9"/>
        <v>0</v>
      </c>
      <c r="AF36" s="119">
        <f t="shared" si="9"/>
        <v>0</v>
      </c>
      <c r="AG36" s="119">
        <f t="shared" si="9"/>
        <v>0</v>
      </c>
      <c r="AH36" s="119">
        <f t="shared" si="9"/>
        <v>0</v>
      </c>
      <c r="AI36" s="119">
        <f t="shared" si="9"/>
        <v>0</v>
      </c>
      <c r="AJ36" s="119">
        <f t="shared" si="9"/>
        <v>0</v>
      </c>
      <c r="AK36" s="119">
        <f t="shared" si="9"/>
        <v>0</v>
      </c>
      <c r="AL36" s="119">
        <f t="shared" si="9"/>
        <v>0</v>
      </c>
      <c r="AM36" s="119">
        <f t="shared" si="9"/>
        <v>0</v>
      </c>
      <c r="AN36" s="119">
        <f t="shared" si="9"/>
        <v>0</v>
      </c>
      <c r="AO36" s="119">
        <f t="shared" si="9"/>
        <v>0</v>
      </c>
      <c r="AP36" s="119">
        <f t="shared" si="9"/>
        <v>0</v>
      </c>
    </row>
    <row r="37" spans="1:42" x14ac:dyDescent="0.2">
      <c r="A37" s="88" t="s">
        <v>15</v>
      </c>
      <c r="C37" s="151">
        <f>IF(C$2&lt;=analysis_period,IF(om_production="n/a",Inputs!D154,om_production*(1+inflation_rate/100+om_production_escal/100)^B$2),0)</f>
        <v>0</v>
      </c>
      <c r="D37" s="151">
        <f>IF(D$2&lt;=analysis_period,IF(om_production="n/a",Inputs!E154,om_production*(1+inflation_rate/100+om_production_escal/100)^C$2),0)</f>
        <v>0</v>
      </c>
      <c r="E37" s="151">
        <f>IF(E$2&lt;=analysis_period,IF(om_production="n/a",Inputs!F154,om_production*(1+inflation_rate/100+om_production_escal/100)^D$2),0)</f>
        <v>0</v>
      </c>
      <c r="F37" s="151">
        <f>IF(F$2&lt;=analysis_period,IF(om_production="n/a",Inputs!G154,om_production*(1+inflation_rate/100+om_production_escal/100)^E$2),0)</f>
        <v>0</v>
      </c>
      <c r="G37" s="151">
        <f>IF(G$2&lt;=analysis_period,IF(om_production="n/a",Inputs!H154,om_production*(1+inflation_rate/100+om_production_escal/100)^F$2),0)</f>
        <v>0</v>
      </c>
      <c r="H37" s="151">
        <f>IF(H$2&lt;=analysis_period,IF(om_production="n/a",Inputs!I154,om_production*(1+inflation_rate/100+om_production_escal/100)^G$2),0)</f>
        <v>0</v>
      </c>
      <c r="I37" s="151">
        <f>IF(I$2&lt;=analysis_period,IF(om_production="n/a",Inputs!J154,om_production*(1+inflation_rate/100+om_production_escal/100)^H$2),0)</f>
        <v>0</v>
      </c>
      <c r="J37" s="151">
        <f>IF(J$2&lt;=analysis_period,IF(om_production="n/a",Inputs!K154,om_production*(1+inflation_rate/100+om_production_escal/100)^I$2),0)</f>
        <v>0</v>
      </c>
      <c r="K37" s="151">
        <f>IF(K$2&lt;=analysis_period,IF(om_production="n/a",Inputs!L154,om_production*(1+inflation_rate/100+om_production_escal/100)^J$2),0)</f>
        <v>0</v>
      </c>
      <c r="L37" s="151">
        <f>IF(L$2&lt;=analysis_period,IF(om_production="n/a",Inputs!M154,om_production*(1+inflation_rate/100+om_production_escal/100)^K$2),0)</f>
        <v>0</v>
      </c>
      <c r="M37" s="151">
        <f>IF(M$2&lt;=analysis_period,IF(om_production="n/a",Inputs!N154,om_production*(1+inflation_rate/100+om_production_escal/100)^L$2),0)</f>
        <v>0</v>
      </c>
      <c r="N37" s="151">
        <f>IF(N$2&lt;=analysis_period,IF(om_production="n/a",Inputs!O154,om_production*(1+inflation_rate/100+om_production_escal/100)^M$2),0)</f>
        <v>0</v>
      </c>
      <c r="O37" s="151">
        <f>IF(O$2&lt;=analysis_period,IF(om_production="n/a",Inputs!P154,om_production*(1+inflation_rate/100+om_production_escal/100)^N$2),0)</f>
        <v>0</v>
      </c>
      <c r="P37" s="151">
        <f>IF(P$2&lt;=analysis_period,IF(om_production="n/a",Inputs!Q154,om_production*(1+inflation_rate/100+om_production_escal/100)^O$2),0)</f>
        <v>0</v>
      </c>
      <c r="Q37" s="151">
        <f>IF(Q$2&lt;=analysis_period,IF(om_production="n/a",Inputs!R154,om_production*(1+inflation_rate/100+om_production_escal/100)^P$2),0)</f>
        <v>0</v>
      </c>
      <c r="R37" s="151">
        <f>IF(R$2&lt;=analysis_period,IF(om_production="n/a",Inputs!S154,om_production*(1+inflation_rate/100+om_production_escal/100)^Q$2),0)</f>
        <v>0</v>
      </c>
      <c r="S37" s="151">
        <f>IF(S$2&lt;=analysis_period,IF(om_production="n/a",Inputs!T154,om_production*(1+inflation_rate/100+om_production_escal/100)^R$2),0)</f>
        <v>0</v>
      </c>
      <c r="T37" s="151">
        <f>IF(T$2&lt;=analysis_period,IF(om_production="n/a",Inputs!U154,om_production*(1+inflation_rate/100+om_production_escal/100)^S$2),0)</f>
        <v>0</v>
      </c>
      <c r="U37" s="151">
        <f>IF(U$2&lt;=analysis_period,IF(om_production="n/a",Inputs!V154,om_production*(1+inflation_rate/100+om_production_escal/100)^T$2),0)</f>
        <v>0</v>
      </c>
      <c r="V37" s="151">
        <f>IF(V$2&lt;=analysis_period,IF(om_production="n/a",Inputs!W154,om_production*(1+inflation_rate/100+om_production_escal/100)^U$2),0)</f>
        <v>0</v>
      </c>
      <c r="W37" s="151">
        <f>IF(W$2&lt;=analysis_period,IF(om_production="n/a",Inputs!X154,om_production*(1+inflation_rate/100+om_production_escal/100)^V$2),0)</f>
        <v>0</v>
      </c>
      <c r="X37" s="151">
        <f>IF(X$2&lt;=analysis_period,IF(om_production="n/a",Inputs!Y154,om_production*(1+inflation_rate/100+om_production_escal/100)^W$2),0)</f>
        <v>0</v>
      </c>
      <c r="Y37" s="151">
        <f>IF(Y$2&lt;=analysis_period,IF(om_production="n/a",Inputs!Z154,om_production*(1+inflation_rate/100+om_production_escal/100)^X$2),0)</f>
        <v>0</v>
      </c>
      <c r="Z37" s="151">
        <f>IF(Z$2&lt;=analysis_period,IF(om_production="n/a",Inputs!AA154,om_production*(1+inflation_rate/100+om_production_escal/100)^Y$2),0)</f>
        <v>0</v>
      </c>
      <c r="AA37" s="151">
        <f>IF(AA$2&lt;=analysis_period,IF(om_production="n/a",Inputs!AB154,om_production*(1+inflation_rate/100+om_production_escal/100)^Z$2),0)</f>
        <v>0</v>
      </c>
      <c r="AB37" s="151">
        <f>IF(AB$2&lt;=analysis_period,IF(om_production="n/a",Inputs!AC154,om_production*(1+inflation_rate/100+om_production_escal/100)^AA$2),0)</f>
        <v>0</v>
      </c>
      <c r="AC37" s="151">
        <f>IF(AC$2&lt;=analysis_period,IF(om_production="n/a",Inputs!AD154,om_production*(1+inflation_rate/100+om_production_escal/100)^AB$2),0)</f>
        <v>0</v>
      </c>
      <c r="AD37" s="151">
        <f>IF(AD$2&lt;=analysis_period,IF(om_production="n/a",Inputs!AE154,om_production*(1+inflation_rate/100+om_production_escal/100)^AC$2),0)</f>
        <v>0</v>
      </c>
      <c r="AE37" s="151">
        <f>IF(AE$2&lt;=analysis_period,IF(om_production="n/a",Inputs!AF154,om_production*(1+inflation_rate/100+om_production_escal/100)^AD$2),0)</f>
        <v>0</v>
      </c>
      <c r="AF37" s="151">
        <f>IF(AF$2&lt;=analysis_period,IF(om_production="n/a",Inputs!AG154,om_production*(1+inflation_rate/100+om_production_escal/100)^AE$2),0)</f>
        <v>0</v>
      </c>
      <c r="AG37" s="151">
        <f>IF(AG$2&lt;=analysis_period,IF(om_production="n/a",Inputs!AH154,om_production*(1+inflation_rate/100+om_production_escal/100)^AF$2),0)</f>
        <v>0</v>
      </c>
      <c r="AH37" s="151">
        <f>IF(AH$2&lt;=analysis_period,IF(om_production="n/a",Inputs!AI154,om_production*(1+inflation_rate/100+om_production_escal/100)^AG$2),0)</f>
        <v>0</v>
      </c>
      <c r="AI37" s="151">
        <f>IF(AI$2&lt;=analysis_period,IF(om_production="n/a",Inputs!AJ154,om_production*(1+inflation_rate/100+om_production_escal/100)^AH$2),0)</f>
        <v>0</v>
      </c>
      <c r="AJ37" s="151">
        <f>IF(AJ$2&lt;=analysis_period,IF(om_production="n/a",Inputs!AK154,om_production*(1+inflation_rate/100+om_production_escal/100)^AI$2),0)</f>
        <v>0</v>
      </c>
      <c r="AK37" s="151">
        <f>IF(AK$2&lt;=analysis_period,IF(om_production="n/a",Inputs!AL154,om_production*(1+inflation_rate/100+om_production_escal/100)^AJ$2),0)</f>
        <v>0</v>
      </c>
      <c r="AL37" s="151">
        <f>IF(AL$2&lt;=analysis_period,IF(om_production="n/a",Inputs!AM154,om_production*(1+inflation_rate/100+om_production_escal/100)^AK$2),0)</f>
        <v>0</v>
      </c>
      <c r="AM37" s="151">
        <f>IF(AM$2&lt;=analysis_period,IF(om_production="n/a",Inputs!AN154,om_production*(1+inflation_rate/100+om_production_escal/100)^AL$2),0)</f>
        <v>0</v>
      </c>
      <c r="AN37" s="151">
        <f>IF(AN$2&lt;=analysis_period,IF(om_production="n/a",Inputs!AO154,om_production*(1+inflation_rate/100+om_production_escal/100)^AM$2),0)</f>
        <v>0</v>
      </c>
      <c r="AO37" s="151">
        <f>IF(AO$2&lt;=analysis_period,IF(om_production="n/a",Inputs!AP154,om_production*(1+inflation_rate/100+om_production_escal/100)^AN$2),0)</f>
        <v>0</v>
      </c>
      <c r="AP37" s="151">
        <f>IF(AP$2&lt;=analysis_period,IF(om_production="n/a",Inputs!AQ154,om_production*(1+inflation_rate/100+om_production_escal/100)^AO$2),0)</f>
        <v>0</v>
      </c>
    </row>
    <row r="38" spans="1:42" x14ac:dyDescent="0.2">
      <c r="A38" s="88" t="s">
        <v>102</v>
      </c>
      <c r="C38" s="154">
        <f>C36*C37</f>
        <v>0</v>
      </c>
      <c r="D38" s="154">
        <f t="shared" ref="D38:AP38" si="10">D36*D37</f>
        <v>0</v>
      </c>
      <c r="E38" s="154">
        <f t="shared" si="10"/>
        <v>0</v>
      </c>
      <c r="F38" s="154">
        <f t="shared" si="10"/>
        <v>0</v>
      </c>
      <c r="G38" s="154">
        <f t="shared" si="10"/>
        <v>0</v>
      </c>
      <c r="H38" s="154">
        <f t="shared" si="10"/>
        <v>0</v>
      </c>
      <c r="I38" s="154">
        <f t="shared" si="10"/>
        <v>0</v>
      </c>
      <c r="J38" s="154">
        <f t="shared" si="10"/>
        <v>0</v>
      </c>
      <c r="K38" s="154">
        <f t="shared" si="10"/>
        <v>0</v>
      </c>
      <c r="L38" s="154">
        <f t="shared" si="10"/>
        <v>0</v>
      </c>
      <c r="M38" s="154">
        <f t="shared" si="10"/>
        <v>0</v>
      </c>
      <c r="N38" s="154">
        <f t="shared" si="10"/>
        <v>0</v>
      </c>
      <c r="O38" s="154">
        <f t="shared" si="10"/>
        <v>0</v>
      </c>
      <c r="P38" s="154">
        <f t="shared" si="10"/>
        <v>0</v>
      </c>
      <c r="Q38" s="154">
        <f t="shared" si="10"/>
        <v>0</v>
      </c>
      <c r="R38" s="154">
        <f t="shared" si="10"/>
        <v>0</v>
      </c>
      <c r="S38" s="154">
        <f t="shared" si="10"/>
        <v>0</v>
      </c>
      <c r="T38" s="154">
        <f t="shared" si="10"/>
        <v>0</v>
      </c>
      <c r="U38" s="154">
        <f t="shared" si="10"/>
        <v>0</v>
      </c>
      <c r="V38" s="154">
        <f t="shared" si="10"/>
        <v>0</v>
      </c>
      <c r="W38" s="154">
        <f t="shared" si="10"/>
        <v>0</v>
      </c>
      <c r="X38" s="154">
        <f t="shared" si="10"/>
        <v>0</v>
      </c>
      <c r="Y38" s="154">
        <f t="shared" si="10"/>
        <v>0</v>
      </c>
      <c r="Z38" s="154">
        <f t="shared" si="10"/>
        <v>0</v>
      </c>
      <c r="AA38" s="154">
        <f t="shared" si="10"/>
        <v>0</v>
      </c>
      <c r="AB38" s="154">
        <f t="shared" si="10"/>
        <v>0</v>
      </c>
      <c r="AC38" s="154">
        <f t="shared" si="10"/>
        <v>0</v>
      </c>
      <c r="AD38" s="154">
        <f t="shared" si="10"/>
        <v>0</v>
      </c>
      <c r="AE38" s="154">
        <f t="shared" si="10"/>
        <v>0</v>
      </c>
      <c r="AF38" s="154">
        <f t="shared" si="10"/>
        <v>0</v>
      </c>
      <c r="AG38" s="154">
        <f t="shared" si="10"/>
        <v>0</v>
      </c>
      <c r="AH38" s="154">
        <f t="shared" si="10"/>
        <v>0</v>
      </c>
      <c r="AI38" s="154">
        <f t="shared" si="10"/>
        <v>0</v>
      </c>
      <c r="AJ38" s="154">
        <f t="shared" si="10"/>
        <v>0</v>
      </c>
      <c r="AK38" s="154">
        <f t="shared" si="10"/>
        <v>0</v>
      </c>
      <c r="AL38" s="154">
        <f t="shared" si="10"/>
        <v>0</v>
      </c>
      <c r="AM38" s="154">
        <f t="shared" si="10"/>
        <v>0</v>
      </c>
      <c r="AN38" s="154">
        <f t="shared" si="10"/>
        <v>0</v>
      </c>
      <c r="AO38" s="154">
        <f t="shared" si="10"/>
        <v>0</v>
      </c>
      <c r="AP38" s="154">
        <f t="shared" si="10"/>
        <v>0</v>
      </c>
    </row>
    <row r="39" spans="1:42" x14ac:dyDescent="0.2">
      <c r="A39" s="87" t="s">
        <v>242</v>
      </c>
      <c r="C39" s="119">
        <f t="array" ref="C39:AP39">Inputs!D174:AQ174</f>
        <v>0</v>
      </c>
      <c r="D39" s="119">
        <v>0</v>
      </c>
      <c r="E39" s="119">
        <v>0</v>
      </c>
      <c r="F39" s="119">
        <v>0</v>
      </c>
      <c r="G39" s="119">
        <v>0</v>
      </c>
      <c r="H39" s="119">
        <v>0</v>
      </c>
      <c r="I39" s="119">
        <v>0</v>
      </c>
      <c r="J39" s="119">
        <v>0</v>
      </c>
      <c r="K39" s="119">
        <v>0</v>
      </c>
      <c r="L39" s="119">
        <v>0</v>
      </c>
      <c r="M39" s="119">
        <v>0</v>
      </c>
      <c r="N39" s="119">
        <v>0</v>
      </c>
      <c r="O39" s="119">
        <v>0</v>
      </c>
      <c r="P39" s="119">
        <v>0</v>
      </c>
      <c r="Q39" s="119">
        <v>0</v>
      </c>
      <c r="R39" s="119">
        <v>0</v>
      </c>
      <c r="S39" s="119">
        <v>0</v>
      </c>
      <c r="T39" s="119">
        <v>0</v>
      </c>
      <c r="U39" s="119">
        <v>0</v>
      </c>
      <c r="V39" s="119">
        <v>0</v>
      </c>
      <c r="W39" s="119">
        <v>0</v>
      </c>
      <c r="X39" s="119">
        <v>0</v>
      </c>
      <c r="Y39" s="119">
        <v>0</v>
      </c>
      <c r="Z39" s="119">
        <v>0</v>
      </c>
      <c r="AA39" s="119">
        <v>0</v>
      </c>
      <c r="AB39" s="119">
        <v>0</v>
      </c>
      <c r="AC39" s="119">
        <v>0</v>
      </c>
      <c r="AD39" s="119">
        <v>0</v>
      </c>
      <c r="AE39" s="119">
        <v>0</v>
      </c>
      <c r="AF39" s="119">
        <v>0</v>
      </c>
      <c r="AG39" s="119">
        <v>0</v>
      </c>
      <c r="AH39" s="119">
        <v>0</v>
      </c>
      <c r="AI39" s="119">
        <v>0</v>
      </c>
      <c r="AJ39" s="119">
        <v>0</v>
      </c>
      <c r="AK39" s="119">
        <v>0</v>
      </c>
      <c r="AL39" s="119">
        <v>0</v>
      </c>
      <c r="AM39" s="119">
        <v>0</v>
      </c>
      <c r="AN39" s="119">
        <v>0</v>
      </c>
      <c r="AO39" s="119">
        <v>0</v>
      </c>
      <c r="AP39" s="119">
        <v>0</v>
      </c>
    </row>
    <row r="40" spans="1:42" x14ac:dyDescent="0.2">
      <c r="A40" s="87" t="s">
        <v>418</v>
      </c>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row>
    <row r="41" spans="1:42" x14ac:dyDescent="0.2">
      <c r="A41" s="22" t="s">
        <v>393</v>
      </c>
      <c r="B41" s="4">
        <f t="array" ref="B41:AP44">Inputs!C176:AQ179</f>
        <v>0</v>
      </c>
      <c r="C41" s="119">
        <v>0</v>
      </c>
      <c r="D41" s="119">
        <v>0</v>
      </c>
      <c r="E41" s="119">
        <v>0</v>
      </c>
      <c r="F41" s="119">
        <v>0</v>
      </c>
      <c r="G41" s="119">
        <v>0</v>
      </c>
      <c r="H41" s="119">
        <v>0</v>
      </c>
      <c r="I41" s="119">
        <v>0</v>
      </c>
      <c r="J41" s="119">
        <v>0</v>
      </c>
      <c r="K41" s="119">
        <v>0</v>
      </c>
      <c r="L41" s="119">
        <v>0</v>
      </c>
      <c r="M41" s="119">
        <v>0</v>
      </c>
      <c r="N41" s="119">
        <v>0</v>
      </c>
      <c r="O41" s="119">
        <v>0</v>
      </c>
      <c r="P41" s="119">
        <v>0</v>
      </c>
      <c r="Q41" s="119">
        <v>0</v>
      </c>
      <c r="R41" s="119">
        <v>0</v>
      </c>
      <c r="S41" s="119">
        <v>0</v>
      </c>
      <c r="T41" s="119">
        <v>0</v>
      </c>
      <c r="U41" s="119">
        <v>0</v>
      </c>
      <c r="V41" s="119">
        <v>0</v>
      </c>
      <c r="W41" s="119">
        <v>0</v>
      </c>
      <c r="X41" s="119">
        <v>0</v>
      </c>
      <c r="Y41" s="119">
        <v>0</v>
      </c>
      <c r="Z41" s="119">
        <v>0</v>
      </c>
      <c r="AA41" s="119">
        <v>0</v>
      </c>
      <c r="AB41" s="119">
        <v>0</v>
      </c>
      <c r="AC41" s="119">
        <v>0</v>
      </c>
      <c r="AD41" s="119">
        <v>0</v>
      </c>
      <c r="AE41" s="119">
        <v>0</v>
      </c>
      <c r="AF41" s="119">
        <v>0</v>
      </c>
      <c r="AG41" s="119">
        <v>0</v>
      </c>
      <c r="AH41" s="119">
        <v>0</v>
      </c>
      <c r="AI41" s="119">
        <v>0</v>
      </c>
      <c r="AJ41" s="119">
        <v>0</v>
      </c>
      <c r="AK41" s="119">
        <v>0</v>
      </c>
      <c r="AL41" s="119">
        <v>0</v>
      </c>
      <c r="AM41" s="119">
        <v>0</v>
      </c>
      <c r="AN41" s="119">
        <v>0</v>
      </c>
      <c r="AO41" s="119">
        <v>0</v>
      </c>
      <c r="AP41" s="119">
        <v>0</v>
      </c>
    </row>
    <row r="42" spans="1:42" x14ac:dyDescent="0.2">
      <c r="A42" s="22" t="s">
        <v>394</v>
      </c>
      <c r="B42" s="4">
        <v>0</v>
      </c>
      <c r="C42" s="119">
        <v>0</v>
      </c>
      <c r="D42" s="119">
        <v>0</v>
      </c>
      <c r="E42" s="119">
        <v>0</v>
      </c>
      <c r="F42" s="119">
        <v>0</v>
      </c>
      <c r="G42" s="119">
        <v>0</v>
      </c>
      <c r="H42" s="119">
        <v>0</v>
      </c>
      <c r="I42" s="119">
        <v>0</v>
      </c>
      <c r="J42" s="119">
        <v>0</v>
      </c>
      <c r="K42" s="119">
        <v>0</v>
      </c>
      <c r="L42" s="119">
        <v>0</v>
      </c>
      <c r="M42" s="119">
        <v>0</v>
      </c>
      <c r="N42" s="119">
        <v>0</v>
      </c>
      <c r="O42" s="119">
        <v>0</v>
      </c>
      <c r="P42" s="119">
        <v>0</v>
      </c>
      <c r="Q42" s="119">
        <v>0</v>
      </c>
      <c r="R42" s="119">
        <v>0</v>
      </c>
      <c r="S42" s="119">
        <v>0</v>
      </c>
      <c r="T42" s="119">
        <v>0</v>
      </c>
      <c r="U42" s="119">
        <v>0</v>
      </c>
      <c r="V42" s="119">
        <v>0</v>
      </c>
      <c r="W42" s="119">
        <v>0</v>
      </c>
      <c r="X42" s="119">
        <v>0</v>
      </c>
      <c r="Y42" s="119">
        <v>0</v>
      </c>
      <c r="Z42" s="119">
        <v>0</v>
      </c>
      <c r="AA42" s="119">
        <v>0</v>
      </c>
      <c r="AB42" s="119">
        <v>0</v>
      </c>
      <c r="AC42" s="119">
        <v>0</v>
      </c>
      <c r="AD42" s="119">
        <v>0</v>
      </c>
      <c r="AE42" s="119">
        <v>0</v>
      </c>
      <c r="AF42" s="119">
        <v>0</v>
      </c>
      <c r="AG42" s="119">
        <v>0</v>
      </c>
      <c r="AH42" s="119">
        <v>0</v>
      </c>
      <c r="AI42" s="119">
        <v>0</v>
      </c>
      <c r="AJ42" s="119">
        <v>0</v>
      </c>
      <c r="AK42" s="119">
        <v>0</v>
      </c>
      <c r="AL42" s="119">
        <v>0</v>
      </c>
      <c r="AM42" s="119">
        <v>0</v>
      </c>
      <c r="AN42" s="119">
        <v>0</v>
      </c>
      <c r="AO42" s="119">
        <v>0</v>
      </c>
      <c r="AP42" s="119">
        <v>0</v>
      </c>
    </row>
    <row r="43" spans="1:42" x14ac:dyDescent="0.2">
      <c r="A43" s="22" t="s">
        <v>395</v>
      </c>
      <c r="B43" s="4">
        <v>0</v>
      </c>
      <c r="C43" s="119">
        <v>0</v>
      </c>
      <c r="D43" s="119">
        <v>0</v>
      </c>
      <c r="E43" s="119">
        <v>0</v>
      </c>
      <c r="F43" s="119">
        <v>0</v>
      </c>
      <c r="G43" s="119">
        <v>0</v>
      </c>
      <c r="H43" s="119">
        <v>0</v>
      </c>
      <c r="I43" s="119">
        <v>0</v>
      </c>
      <c r="J43" s="119">
        <v>0</v>
      </c>
      <c r="K43" s="119">
        <v>0</v>
      </c>
      <c r="L43" s="119">
        <v>0</v>
      </c>
      <c r="M43" s="119">
        <v>0</v>
      </c>
      <c r="N43" s="119">
        <v>0</v>
      </c>
      <c r="O43" s="119">
        <v>0</v>
      </c>
      <c r="P43" s="119">
        <v>0</v>
      </c>
      <c r="Q43" s="119">
        <v>0</v>
      </c>
      <c r="R43" s="119">
        <v>0</v>
      </c>
      <c r="S43" s="119">
        <v>0</v>
      </c>
      <c r="T43" s="119">
        <v>0</v>
      </c>
      <c r="U43" s="119">
        <v>0</v>
      </c>
      <c r="V43" s="119">
        <v>0</v>
      </c>
      <c r="W43" s="119">
        <v>0</v>
      </c>
      <c r="X43" s="119">
        <v>0</v>
      </c>
      <c r="Y43" s="119">
        <v>0</v>
      </c>
      <c r="Z43" s="119">
        <v>0</v>
      </c>
      <c r="AA43" s="119">
        <v>0</v>
      </c>
      <c r="AB43" s="119">
        <v>0</v>
      </c>
      <c r="AC43" s="119">
        <v>0</v>
      </c>
      <c r="AD43" s="119">
        <v>0</v>
      </c>
      <c r="AE43" s="119">
        <v>0</v>
      </c>
      <c r="AF43" s="119">
        <v>0</v>
      </c>
      <c r="AG43" s="119">
        <v>0</v>
      </c>
      <c r="AH43" s="119">
        <v>0</v>
      </c>
      <c r="AI43" s="119">
        <v>0</v>
      </c>
      <c r="AJ43" s="119">
        <v>0</v>
      </c>
      <c r="AK43" s="119">
        <v>0</v>
      </c>
      <c r="AL43" s="119">
        <v>0</v>
      </c>
      <c r="AM43" s="119">
        <v>0</v>
      </c>
      <c r="AN43" s="119">
        <v>0</v>
      </c>
      <c r="AO43" s="119">
        <v>0</v>
      </c>
      <c r="AP43" s="119">
        <v>0</v>
      </c>
    </row>
    <row r="44" spans="1:42" x14ac:dyDescent="0.2">
      <c r="A44" s="22" t="s">
        <v>239</v>
      </c>
      <c r="B44" s="4">
        <v>0</v>
      </c>
      <c r="C44" s="119">
        <v>0</v>
      </c>
      <c r="D44" s="119">
        <v>0</v>
      </c>
      <c r="E44" s="119">
        <v>0</v>
      </c>
      <c r="F44" s="119">
        <v>0</v>
      </c>
      <c r="G44" s="119">
        <v>0</v>
      </c>
      <c r="H44" s="119">
        <v>0</v>
      </c>
      <c r="I44" s="119">
        <v>0</v>
      </c>
      <c r="J44" s="119">
        <v>0</v>
      </c>
      <c r="K44" s="119">
        <v>0</v>
      </c>
      <c r="L44" s="119">
        <v>0</v>
      </c>
      <c r="M44" s="119">
        <v>0</v>
      </c>
      <c r="N44" s="119">
        <v>0</v>
      </c>
      <c r="O44" s="119">
        <v>0</v>
      </c>
      <c r="P44" s="119">
        <v>0</v>
      </c>
      <c r="Q44" s="119">
        <v>0</v>
      </c>
      <c r="R44" s="119">
        <v>0</v>
      </c>
      <c r="S44" s="119">
        <v>0</v>
      </c>
      <c r="T44" s="119">
        <v>0</v>
      </c>
      <c r="U44" s="119">
        <v>0</v>
      </c>
      <c r="V44" s="119">
        <v>0</v>
      </c>
      <c r="W44" s="119">
        <v>0</v>
      </c>
      <c r="X44" s="119">
        <v>0</v>
      </c>
      <c r="Y44" s="119">
        <v>0</v>
      </c>
      <c r="Z44" s="119">
        <v>0</v>
      </c>
      <c r="AA44" s="119">
        <v>0</v>
      </c>
      <c r="AB44" s="119">
        <v>0</v>
      </c>
      <c r="AC44" s="119">
        <v>0</v>
      </c>
      <c r="AD44" s="119">
        <v>0</v>
      </c>
      <c r="AE44" s="119">
        <v>0</v>
      </c>
      <c r="AF44" s="119">
        <v>0</v>
      </c>
      <c r="AG44" s="119">
        <v>0</v>
      </c>
      <c r="AH44" s="119">
        <v>0</v>
      </c>
      <c r="AI44" s="119">
        <v>0</v>
      </c>
      <c r="AJ44" s="119">
        <v>0</v>
      </c>
      <c r="AK44" s="119">
        <v>0</v>
      </c>
      <c r="AL44" s="119">
        <v>0</v>
      </c>
      <c r="AM44" s="119">
        <v>0</v>
      </c>
      <c r="AN44" s="119">
        <v>0</v>
      </c>
      <c r="AO44" s="119">
        <v>0</v>
      </c>
      <c r="AP44" s="119">
        <v>0</v>
      </c>
    </row>
    <row r="45" spans="1:42" x14ac:dyDescent="0.2">
      <c r="A45" s="87" t="s">
        <v>419</v>
      </c>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row>
    <row r="46" spans="1:42" x14ac:dyDescent="0.2">
      <c r="A46" s="22" t="s">
        <v>397</v>
      </c>
      <c r="B46" s="4">
        <f t="array" ref="B46:AP50">Inputs!C181:AQ185</f>
        <v>0</v>
      </c>
      <c r="C46" s="119">
        <v>0</v>
      </c>
      <c r="D46" s="119">
        <v>0</v>
      </c>
      <c r="E46" s="119">
        <v>0</v>
      </c>
      <c r="F46" s="119">
        <v>0</v>
      </c>
      <c r="G46" s="119">
        <v>0</v>
      </c>
      <c r="H46" s="119">
        <v>0</v>
      </c>
      <c r="I46" s="119">
        <v>0</v>
      </c>
      <c r="J46" s="119">
        <v>0</v>
      </c>
      <c r="K46" s="119">
        <v>0</v>
      </c>
      <c r="L46" s="119">
        <v>0</v>
      </c>
      <c r="M46" s="119">
        <v>0</v>
      </c>
      <c r="N46" s="119">
        <v>0</v>
      </c>
      <c r="O46" s="119">
        <v>0</v>
      </c>
      <c r="P46" s="119">
        <v>0</v>
      </c>
      <c r="Q46" s="119">
        <v>0</v>
      </c>
      <c r="R46" s="119">
        <v>0</v>
      </c>
      <c r="S46" s="119">
        <v>0</v>
      </c>
      <c r="T46" s="119">
        <v>0</v>
      </c>
      <c r="U46" s="119">
        <v>0</v>
      </c>
      <c r="V46" s="119">
        <v>0</v>
      </c>
      <c r="W46" s="119">
        <v>0</v>
      </c>
      <c r="X46" s="119">
        <v>0</v>
      </c>
      <c r="Y46" s="119">
        <v>0</v>
      </c>
      <c r="Z46" s="119">
        <v>0</v>
      </c>
      <c r="AA46" s="119">
        <v>0</v>
      </c>
      <c r="AB46" s="119">
        <v>0</v>
      </c>
      <c r="AC46" s="119">
        <v>0</v>
      </c>
      <c r="AD46" s="119">
        <v>0</v>
      </c>
      <c r="AE46" s="119">
        <v>0</v>
      </c>
      <c r="AF46" s="119">
        <v>0</v>
      </c>
      <c r="AG46" s="119">
        <v>0</v>
      </c>
      <c r="AH46" s="119">
        <v>0</v>
      </c>
      <c r="AI46" s="119">
        <v>0</v>
      </c>
      <c r="AJ46" s="119">
        <v>0</v>
      </c>
      <c r="AK46" s="119">
        <v>0</v>
      </c>
      <c r="AL46" s="119">
        <v>0</v>
      </c>
      <c r="AM46" s="119">
        <v>0</v>
      </c>
      <c r="AN46" s="119">
        <v>0</v>
      </c>
      <c r="AO46" s="119">
        <v>0</v>
      </c>
      <c r="AP46" s="119">
        <v>0</v>
      </c>
    </row>
    <row r="47" spans="1:42" x14ac:dyDescent="0.2">
      <c r="A47" s="22" t="s">
        <v>398</v>
      </c>
      <c r="B47" s="4">
        <v>0</v>
      </c>
      <c r="C47" s="119">
        <v>0</v>
      </c>
      <c r="D47" s="119">
        <v>0</v>
      </c>
      <c r="E47" s="119">
        <v>0</v>
      </c>
      <c r="F47" s="119">
        <v>0</v>
      </c>
      <c r="G47" s="119">
        <v>0</v>
      </c>
      <c r="H47" s="119">
        <v>0</v>
      </c>
      <c r="I47" s="119">
        <v>0</v>
      </c>
      <c r="J47" s="119">
        <v>0</v>
      </c>
      <c r="K47" s="119">
        <v>0</v>
      </c>
      <c r="L47" s="119">
        <v>0</v>
      </c>
      <c r="M47" s="119">
        <v>0</v>
      </c>
      <c r="N47" s="119">
        <v>0</v>
      </c>
      <c r="O47" s="119">
        <v>0</v>
      </c>
      <c r="P47" s="119">
        <v>0</v>
      </c>
      <c r="Q47" s="119">
        <v>0</v>
      </c>
      <c r="R47" s="119">
        <v>0</v>
      </c>
      <c r="S47" s="119">
        <v>0</v>
      </c>
      <c r="T47" s="119">
        <v>0</v>
      </c>
      <c r="U47" s="119">
        <v>0</v>
      </c>
      <c r="V47" s="119">
        <v>0</v>
      </c>
      <c r="W47" s="119">
        <v>0</v>
      </c>
      <c r="X47" s="119">
        <v>0</v>
      </c>
      <c r="Y47" s="119">
        <v>0</v>
      </c>
      <c r="Z47" s="119">
        <v>0</v>
      </c>
      <c r="AA47" s="119">
        <v>0</v>
      </c>
      <c r="AB47" s="119">
        <v>0</v>
      </c>
      <c r="AC47" s="119">
        <v>0</v>
      </c>
      <c r="AD47" s="119">
        <v>0</v>
      </c>
      <c r="AE47" s="119">
        <v>0</v>
      </c>
      <c r="AF47" s="119">
        <v>0</v>
      </c>
      <c r="AG47" s="119">
        <v>0</v>
      </c>
      <c r="AH47" s="119">
        <v>0</v>
      </c>
      <c r="AI47" s="119">
        <v>0</v>
      </c>
      <c r="AJ47" s="119">
        <v>0</v>
      </c>
      <c r="AK47" s="119">
        <v>0</v>
      </c>
      <c r="AL47" s="119">
        <v>0</v>
      </c>
      <c r="AM47" s="119">
        <v>0</v>
      </c>
      <c r="AN47" s="119">
        <v>0</v>
      </c>
      <c r="AO47" s="119">
        <v>0</v>
      </c>
      <c r="AP47" s="119">
        <v>0</v>
      </c>
    </row>
    <row r="48" spans="1:42" x14ac:dyDescent="0.2">
      <c r="A48" s="22" t="s">
        <v>399</v>
      </c>
      <c r="B48" s="4">
        <v>0</v>
      </c>
      <c r="C48" s="119">
        <v>0</v>
      </c>
      <c r="D48" s="119">
        <v>0</v>
      </c>
      <c r="E48" s="119">
        <v>0</v>
      </c>
      <c r="F48" s="119">
        <v>0</v>
      </c>
      <c r="G48" s="119">
        <v>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19">
        <v>0</v>
      </c>
      <c r="Y48" s="119">
        <v>0</v>
      </c>
      <c r="Z48" s="119">
        <v>0</v>
      </c>
      <c r="AA48" s="119">
        <v>0</v>
      </c>
      <c r="AB48" s="119">
        <v>0</v>
      </c>
      <c r="AC48" s="119">
        <v>0</v>
      </c>
      <c r="AD48" s="119">
        <v>0</v>
      </c>
      <c r="AE48" s="119">
        <v>0</v>
      </c>
      <c r="AF48" s="119">
        <v>0</v>
      </c>
      <c r="AG48" s="119">
        <v>0</v>
      </c>
      <c r="AH48" s="119">
        <v>0</v>
      </c>
      <c r="AI48" s="119">
        <v>0</v>
      </c>
      <c r="AJ48" s="119">
        <v>0</v>
      </c>
      <c r="AK48" s="119">
        <v>0</v>
      </c>
      <c r="AL48" s="119">
        <v>0</v>
      </c>
      <c r="AM48" s="119">
        <v>0</v>
      </c>
      <c r="AN48" s="119">
        <v>0</v>
      </c>
      <c r="AO48" s="119">
        <v>0</v>
      </c>
      <c r="AP48" s="119">
        <v>0</v>
      </c>
    </row>
    <row r="49" spans="1:42" x14ac:dyDescent="0.2">
      <c r="A49" s="22" t="s">
        <v>400</v>
      </c>
      <c r="B49" s="4">
        <v>0</v>
      </c>
      <c r="C49" s="119">
        <v>0</v>
      </c>
      <c r="D49" s="119">
        <v>0</v>
      </c>
      <c r="E49" s="119">
        <v>0</v>
      </c>
      <c r="F49" s="119">
        <v>0</v>
      </c>
      <c r="G49" s="119">
        <v>0</v>
      </c>
      <c r="H49" s="119">
        <v>0</v>
      </c>
      <c r="I49" s="119">
        <v>0</v>
      </c>
      <c r="J49" s="119">
        <v>0</v>
      </c>
      <c r="K49" s="119">
        <v>0</v>
      </c>
      <c r="L49" s="119">
        <v>0</v>
      </c>
      <c r="M49" s="119">
        <v>0</v>
      </c>
      <c r="N49" s="119">
        <v>0</v>
      </c>
      <c r="O49" s="119">
        <v>0</v>
      </c>
      <c r="P49" s="119">
        <v>0</v>
      </c>
      <c r="Q49" s="119">
        <v>0</v>
      </c>
      <c r="R49" s="119">
        <v>0</v>
      </c>
      <c r="S49" s="119">
        <v>0</v>
      </c>
      <c r="T49" s="119">
        <v>0</v>
      </c>
      <c r="U49" s="119">
        <v>0</v>
      </c>
      <c r="V49" s="119">
        <v>0</v>
      </c>
      <c r="W49" s="119">
        <v>0</v>
      </c>
      <c r="X49" s="119">
        <v>0</v>
      </c>
      <c r="Y49" s="119">
        <v>0</v>
      </c>
      <c r="Z49" s="119">
        <v>0</v>
      </c>
      <c r="AA49" s="119">
        <v>0</v>
      </c>
      <c r="AB49" s="119">
        <v>0</v>
      </c>
      <c r="AC49" s="119">
        <v>0</v>
      </c>
      <c r="AD49" s="119">
        <v>0</v>
      </c>
      <c r="AE49" s="119">
        <v>0</v>
      </c>
      <c r="AF49" s="119">
        <v>0</v>
      </c>
      <c r="AG49" s="119">
        <v>0</v>
      </c>
      <c r="AH49" s="119">
        <v>0</v>
      </c>
      <c r="AI49" s="119">
        <v>0</v>
      </c>
      <c r="AJ49" s="119">
        <v>0</v>
      </c>
      <c r="AK49" s="119">
        <v>0</v>
      </c>
      <c r="AL49" s="119">
        <v>0</v>
      </c>
      <c r="AM49" s="119">
        <v>0</v>
      </c>
      <c r="AN49" s="119">
        <v>0</v>
      </c>
      <c r="AO49" s="119">
        <v>0</v>
      </c>
      <c r="AP49" s="119">
        <v>0</v>
      </c>
    </row>
    <row r="50" spans="1:42" x14ac:dyDescent="0.2">
      <c r="A50" s="22" t="s">
        <v>401</v>
      </c>
      <c r="B50" s="4">
        <v>0</v>
      </c>
      <c r="C50" s="119">
        <v>0</v>
      </c>
      <c r="D50" s="119">
        <v>0</v>
      </c>
      <c r="E50" s="119">
        <v>0</v>
      </c>
      <c r="F50" s="119">
        <v>0</v>
      </c>
      <c r="G50" s="119">
        <v>0</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19">
        <v>0</v>
      </c>
      <c r="Y50" s="119">
        <v>0</v>
      </c>
      <c r="Z50" s="119">
        <v>0</v>
      </c>
      <c r="AA50" s="119">
        <v>0</v>
      </c>
      <c r="AB50" s="119">
        <v>0</v>
      </c>
      <c r="AC50" s="119">
        <v>0</v>
      </c>
      <c r="AD50" s="119">
        <v>0</v>
      </c>
      <c r="AE50" s="119">
        <v>0</v>
      </c>
      <c r="AF50" s="119">
        <v>0</v>
      </c>
      <c r="AG50" s="119">
        <v>0</v>
      </c>
      <c r="AH50" s="119">
        <v>0</v>
      </c>
      <c r="AI50" s="119">
        <v>0</v>
      </c>
      <c r="AJ50" s="119">
        <v>0</v>
      </c>
      <c r="AK50" s="119">
        <v>0</v>
      </c>
      <c r="AL50" s="119">
        <v>0</v>
      </c>
      <c r="AM50" s="119">
        <v>0</v>
      </c>
      <c r="AN50" s="119">
        <v>0</v>
      </c>
      <c r="AO50" s="119">
        <v>0</v>
      </c>
      <c r="AP50" s="119">
        <v>0</v>
      </c>
    </row>
    <row r="51" spans="1:42" x14ac:dyDescent="0.2">
      <c r="A51" s="87" t="s">
        <v>194</v>
      </c>
      <c r="C51" s="119">
        <f t="shared" ref="C51:AP51" si="11">IF(C2&lt;=analysis_period,om_fuel_cost*annual_fuel_usage/1000*system_heat_rate*(1+om_fuel_cost_escal/100+inflation_rate/100)^B2,0)</f>
        <v>0</v>
      </c>
      <c r="D51" s="119">
        <f t="shared" si="11"/>
        <v>0</v>
      </c>
      <c r="E51" s="119">
        <f t="shared" si="11"/>
        <v>0</v>
      </c>
      <c r="F51" s="119">
        <f t="shared" si="11"/>
        <v>0</v>
      </c>
      <c r="G51" s="119">
        <f t="shared" si="11"/>
        <v>0</v>
      </c>
      <c r="H51" s="119">
        <f t="shared" si="11"/>
        <v>0</v>
      </c>
      <c r="I51" s="119">
        <f t="shared" si="11"/>
        <v>0</v>
      </c>
      <c r="J51" s="119">
        <f t="shared" si="11"/>
        <v>0</v>
      </c>
      <c r="K51" s="119">
        <f t="shared" si="11"/>
        <v>0</v>
      </c>
      <c r="L51" s="119">
        <f t="shared" si="11"/>
        <v>0</v>
      </c>
      <c r="M51" s="119">
        <f t="shared" si="11"/>
        <v>0</v>
      </c>
      <c r="N51" s="119">
        <f t="shared" si="11"/>
        <v>0</v>
      </c>
      <c r="O51" s="119">
        <f t="shared" si="11"/>
        <v>0</v>
      </c>
      <c r="P51" s="119">
        <f t="shared" si="11"/>
        <v>0</v>
      </c>
      <c r="Q51" s="119">
        <f t="shared" si="11"/>
        <v>0</v>
      </c>
      <c r="R51" s="119">
        <f t="shared" si="11"/>
        <v>0</v>
      </c>
      <c r="S51" s="119">
        <f t="shared" si="11"/>
        <v>0</v>
      </c>
      <c r="T51" s="119">
        <f t="shared" si="11"/>
        <v>0</v>
      </c>
      <c r="U51" s="119">
        <f t="shared" si="11"/>
        <v>0</v>
      </c>
      <c r="V51" s="119">
        <f t="shared" si="11"/>
        <v>0</v>
      </c>
      <c r="W51" s="119">
        <f t="shared" si="11"/>
        <v>0</v>
      </c>
      <c r="X51" s="119">
        <f t="shared" si="11"/>
        <v>0</v>
      </c>
      <c r="Y51" s="119">
        <f t="shared" si="11"/>
        <v>0</v>
      </c>
      <c r="Z51" s="119">
        <f t="shared" si="11"/>
        <v>0</v>
      </c>
      <c r="AA51" s="119">
        <f t="shared" si="11"/>
        <v>0</v>
      </c>
      <c r="AB51" s="119">
        <f t="shared" si="11"/>
        <v>0</v>
      </c>
      <c r="AC51" s="119">
        <f t="shared" si="11"/>
        <v>0</v>
      </c>
      <c r="AD51" s="119">
        <f t="shared" si="11"/>
        <v>0</v>
      </c>
      <c r="AE51" s="119">
        <f t="shared" si="11"/>
        <v>0</v>
      </c>
      <c r="AF51" s="119">
        <f t="shared" si="11"/>
        <v>0</v>
      </c>
      <c r="AG51" s="119">
        <f t="shared" si="11"/>
        <v>0</v>
      </c>
      <c r="AH51" s="119">
        <f t="shared" si="11"/>
        <v>0</v>
      </c>
      <c r="AI51" s="119">
        <f t="shared" si="11"/>
        <v>0</v>
      </c>
      <c r="AJ51" s="119">
        <f t="shared" si="11"/>
        <v>0</v>
      </c>
      <c r="AK51" s="119">
        <f t="shared" si="11"/>
        <v>0</v>
      </c>
      <c r="AL51" s="119">
        <f t="shared" si="11"/>
        <v>0</v>
      </c>
      <c r="AM51" s="119">
        <f t="shared" si="11"/>
        <v>0</v>
      </c>
      <c r="AN51" s="119">
        <f t="shared" si="11"/>
        <v>0</v>
      </c>
      <c r="AO51" s="119">
        <f t="shared" si="11"/>
        <v>0</v>
      </c>
      <c r="AP51" s="119">
        <f t="shared" si="11"/>
        <v>0</v>
      </c>
    </row>
    <row r="52" spans="1:42" x14ac:dyDescent="0.2">
      <c r="A52" s="87" t="s">
        <v>195</v>
      </c>
      <c r="B52" s="4">
        <f t="array" ref="B52:AP54">Inputs!C187:AQ189</f>
        <v>0</v>
      </c>
      <c r="C52" s="119">
        <v>0</v>
      </c>
      <c r="D52" s="119">
        <v>0</v>
      </c>
      <c r="E52" s="119">
        <v>0</v>
      </c>
      <c r="F52" s="119">
        <v>0</v>
      </c>
      <c r="G52" s="119">
        <v>0</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19">
        <v>0</v>
      </c>
      <c r="Y52" s="119">
        <v>0</v>
      </c>
      <c r="Z52" s="119">
        <v>0</v>
      </c>
      <c r="AA52" s="119">
        <v>0</v>
      </c>
      <c r="AB52" s="119">
        <v>0</v>
      </c>
      <c r="AC52" s="119">
        <v>0</v>
      </c>
      <c r="AD52" s="119">
        <v>0</v>
      </c>
      <c r="AE52" s="119">
        <v>0</v>
      </c>
      <c r="AF52" s="119">
        <v>0</v>
      </c>
      <c r="AG52" s="119">
        <v>0</v>
      </c>
      <c r="AH52" s="119">
        <v>0</v>
      </c>
      <c r="AI52" s="119">
        <v>0</v>
      </c>
      <c r="AJ52" s="119">
        <v>0</v>
      </c>
      <c r="AK52" s="119">
        <v>0</v>
      </c>
      <c r="AL52" s="119">
        <v>0</v>
      </c>
      <c r="AM52" s="119">
        <v>0</v>
      </c>
      <c r="AN52" s="119">
        <v>0</v>
      </c>
      <c r="AO52" s="119">
        <v>0</v>
      </c>
      <c r="AP52" s="119">
        <v>0</v>
      </c>
    </row>
    <row r="53" spans="1:42" x14ac:dyDescent="0.2">
      <c r="A53" s="87" t="s">
        <v>196</v>
      </c>
      <c r="B53" s="4">
        <v>0</v>
      </c>
      <c r="C53" s="119">
        <v>0</v>
      </c>
      <c r="D53" s="119">
        <v>0</v>
      </c>
      <c r="E53" s="119">
        <v>0</v>
      </c>
      <c r="F53" s="119">
        <v>0</v>
      </c>
      <c r="G53" s="119">
        <v>0</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19">
        <v>0</v>
      </c>
      <c r="Y53" s="119">
        <v>0</v>
      </c>
      <c r="Z53" s="119">
        <v>0</v>
      </c>
      <c r="AA53" s="119">
        <v>0</v>
      </c>
      <c r="AB53" s="119">
        <v>0</v>
      </c>
      <c r="AC53" s="119">
        <v>0</v>
      </c>
      <c r="AD53" s="119">
        <v>0</v>
      </c>
      <c r="AE53" s="119">
        <v>0</v>
      </c>
      <c r="AF53" s="119">
        <v>0</v>
      </c>
      <c r="AG53" s="119">
        <v>0</v>
      </c>
      <c r="AH53" s="119">
        <v>0</v>
      </c>
      <c r="AI53" s="119">
        <v>0</v>
      </c>
      <c r="AJ53" s="119">
        <v>0</v>
      </c>
      <c r="AK53" s="119">
        <v>0</v>
      </c>
      <c r="AL53" s="119">
        <v>0</v>
      </c>
      <c r="AM53" s="119">
        <v>0</v>
      </c>
      <c r="AN53" s="119">
        <v>0</v>
      </c>
      <c r="AO53" s="119">
        <v>0</v>
      </c>
      <c r="AP53" s="119">
        <v>0</v>
      </c>
    </row>
    <row r="54" spans="1:42" x14ac:dyDescent="0.2">
      <c r="A54" s="87" t="s">
        <v>406</v>
      </c>
      <c r="B54" s="4">
        <v>0</v>
      </c>
      <c r="C54" s="119">
        <v>0</v>
      </c>
      <c r="D54" s="119">
        <v>0</v>
      </c>
      <c r="E54" s="119">
        <v>0</v>
      </c>
      <c r="F54" s="119">
        <v>0</v>
      </c>
      <c r="G54" s="119">
        <v>0</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19">
        <v>0</v>
      </c>
      <c r="Y54" s="119">
        <v>0</v>
      </c>
      <c r="Z54" s="119">
        <v>0</v>
      </c>
      <c r="AA54" s="119">
        <v>0</v>
      </c>
      <c r="AB54" s="119">
        <v>0</v>
      </c>
      <c r="AC54" s="119">
        <v>0</v>
      </c>
      <c r="AD54" s="119">
        <v>0</v>
      </c>
      <c r="AE54" s="119">
        <v>0</v>
      </c>
      <c r="AF54" s="119">
        <v>0</v>
      </c>
      <c r="AG54" s="119">
        <v>0</v>
      </c>
      <c r="AH54" s="119">
        <v>0</v>
      </c>
      <c r="AI54" s="119">
        <v>0</v>
      </c>
      <c r="AJ54" s="119">
        <v>0</v>
      </c>
      <c r="AK54" s="119">
        <v>0</v>
      </c>
      <c r="AL54" s="119">
        <v>0</v>
      </c>
      <c r="AM54" s="119">
        <v>0</v>
      </c>
      <c r="AN54" s="119">
        <v>0</v>
      </c>
      <c r="AO54" s="119">
        <v>0</v>
      </c>
      <c r="AP54" s="119">
        <v>0</v>
      </c>
    </row>
    <row r="55" spans="1:42" x14ac:dyDescent="0.2">
      <c r="A55" s="18" t="s">
        <v>420</v>
      </c>
      <c r="C55" s="119">
        <f>IF(C$2&lt;=analysis_period,IF(om_land_lease="n/a",total_land_area*Inputs!D$198,total_land_area*om_land_lease*(1+inflation_rate/100+om_land_lease_escal/100)^B$2),0)</f>
        <v>0</v>
      </c>
      <c r="D55" s="119">
        <f>IF(D$2&lt;=analysis_period,IF(om_land_lease="n/a",total_land_area*Inputs!E$198,total_land_area*om_land_lease*(1+inflation_rate/100+om_land_lease_escal/100)^C$2),0)</f>
        <v>0</v>
      </c>
      <c r="E55" s="119">
        <f>IF(E$2&lt;=analysis_period,IF(om_land_lease="n/a",total_land_area*Inputs!F$198,total_land_area*om_land_lease*(1+inflation_rate/100+om_land_lease_escal/100)^D$2),0)</f>
        <v>0</v>
      </c>
      <c r="F55" s="119">
        <f>IF(F$2&lt;=analysis_period,IF(om_land_lease="n/a",total_land_area*Inputs!G$198,total_land_area*om_land_lease*(1+inflation_rate/100+om_land_lease_escal/100)^E$2),0)</f>
        <v>0</v>
      </c>
      <c r="G55" s="119">
        <f>IF(G$2&lt;=analysis_period,IF(om_land_lease="n/a",total_land_area*Inputs!H$198,total_land_area*om_land_lease*(1+inflation_rate/100+om_land_lease_escal/100)^F$2),0)</f>
        <v>0</v>
      </c>
      <c r="H55" s="119">
        <f>IF(H$2&lt;=analysis_period,IF(om_land_lease="n/a",total_land_area*Inputs!I$198,total_land_area*om_land_lease*(1+inflation_rate/100+om_land_lease_escal/100)^G$2),0)</f>
        <v>0</v>
      </c>
      <c r="I55" s="119">
        <f>IF(I$2&lt;=analysis_period,IF(om_land_lease="n/a",total_land_area*Inputs!J$198,total_land_area*om_land_lease*(1+inflation_rate/100+om_land_lease_escal/100)^H$2),0)</f>
        <v>0</v>
      </c>
      <c r="J55" s="119">
        <f>IF(J$2&lt;=analysis_period,IF(om_land_lease="n/a",total_land_area*Inputs!K$198,total_land_area*om_land_lease*(1+inflation_rate/100+om_land_lease_escal/100)^I$2),0)</f>
        <v>0</v>
      </c>
      <c r="K55" s="119">
        <f>IF(K$2&lt;=analysis_period,IF(om_land_lease="n/a",total_land_area*Inputs!L$198,total_land_area*om_land_lease*(1+inflation_rate/100+om_land_lease_escal/100)^J$2),0)</f>
        <v>0</v>
      </c>
      <c r="L55" s="119">
        <f>IF(L$2&lt;=analysis_period,IF(om_land_lease="n/a",total_land_area*Inputs!M$198,total_land_area*om_land_lease*(1+inflation_rate/100+om_land_lease_escal/100)^K$2),0)</f>
        <v>0</v>
      </c>
      <c r="M55" s="119">
        <f>IF(M$2&lt;=analysis_period,IF(om_land_lease="n/a",total_land_area*Inputs!N$198,total_land_area*om_land_lease*(1+inflation_rate/100+om_land_lease_escal/100)^L$2),0)</f>
        <v>0</v>
      </c>
      <c r="N55" s="119">
        <f>IF(N$2&lt;=analysis_period,IF(om_land_lease="n/a",total_land_area*Inputs!O$198,total_land_area*om_land_lease*(1+inflation_rate/100+om_land_lease_escal/100)^M$2),0)</f>
        <v>0</v>
      </c>
      <c r="O55" s="119">
        <f>IF(O$2&lt;=analysis_period,IF(om_land_lease="n/a",total_land_area*Inputs!P$198,total_land_area*om_land_lease*(1+inflation_rate/100+om_land_lease_escal/100)^N$2),0)</f>
        <v>0</v>
      </c>
      <c r="P55" s="119">
        <f>IF(P$2&lt;=analysis_period,IF(om_land_lease="n/a",total_land_area*Inputs!Q$198,total_land_area*om_land_lease*(1+inflation_rate/100+om_land_lease_escal/100)^O$2),0)</f>
        <v>0</v>
      </c>
      <c r="Q55" s="119">
        <f>IF(Q$2&lt;=analysis_period,IF(om_land_lease="n/a",total_land_area*Inputs!R$198,total_land_area*om_land_lease*(1+inflation_rate/100+om_land_lease_escal/100)^P$2),0)</f>
        <v>0</v>
      </c>
      <c r="R55" s="119">
        <f>IF(R$2&lt;=analysis_period,IF(om_land_lease="n/a",total_land_area*Inputs!S$198,total_land_area*om_land_lease*(1+inflation_rate/100+om_land_lease_escal/100)^Q$2),0)</f>
        <v>0</v>
      </c>
      <c r="S55" s="119">
        <f>IF(S$2&lt;=analysis_period,IF(om_land_lease="n/a",total_land_area*Inputs!T$198,total_land_area*om_land_lease*(1+inflation_rate/100+om_land_lease_escal/100)^R$2),0)</f>
        <v>0</v>
      </c>
      <c r="T55" s="119">
        <f>IF(T$2&lt;=analysis_period,IF(om_land_lease="n/a",total_land_area*Inputs!U$198,total_land_area*om_land_lease*(1+inflation_rate/100+om_land_lease_escal/100)^S$2),0)</f>
        <v>0</v>
      </c>
      <c r="U55" s="119">
        <f>IF(U$2&lt;=analysis_period,IF(om_land_lease="n/a",total_land_area*Inputs!V$198,total_land_area*om_land_lease*(1+inflation_rate/100+om_land_lease_escal/100)^T$2),0)</f>
        <v>0</v>
      </c>
      <c r="V55" s="119">
        <f>IF(V$2&lt;=analysis_period,IF(om_land_lease="n/a",total_land_area*Inputs!W$198,total_land_area*om_land_lease*(1+inflation_rate/100+om_land_lease_escal/100)^U$2),0)</f>
        <v>0</v>
      </c>
      <c r="W55" s="119">
        <f>IF(W$2&lt;=analysis_period,IF(om_land_lease="n/a",total_land_area*Inputs!X$198,total_land_area*om_land_lease*(1+inflation_rate/100+om_land_lease_escal/100)^V$2),0)</f>
        <v>0</v>
      </c>
      <c r="X55" s="119">
        <f>IF(X$2&lt;=analysis_period,IF(om_land_lease="n/a",total_land_area*Inputs!Y$198,total_land_area*om_land_lease*(1+inflation_rate/100+om_land_lease_escal/100)^W$2),0)</f>
        <v>0</v>
      </c>
      <c r="Y55" s="119">
        <f>IF(Y$2&lt;=analysis_period,IF(om_land_lease="n/a",total_land_area*Inputs!Z$198,total_land_area*om_land_lease*(1+inflation_rate/100+om_land_lease_escal/100)^X$2),0)</f>
        <v>0</v>
      </c>
      <c r="Z55" s="119">
        <f>IF(Z$2&lt;=analysis_period,IF(om_land_lease="n/a",total_land_area*Inputs!AA$198,total_land_area*om_land_lease*(1+inflation_rate/100+om_land_lease_escal/100)^Y$2),0)</f>
        <v>0</v>
      </c>
      <c r="AA55" s="119">
        <f>IF(AA$2&lt;=analysis_period,IF(om_land_lease="n/a",total_land_area*Inputs!AB$198,total_land_area*om_land_lease*(1+inflation_rate/100+om_land_lease_escal/100)^Z$2),0)</f>
        <v>0</v>
      </c>
      <c r="AB55" s="119">
        <f>IF(AB$2&lt;=analysis_period,IF(om_land_lease="n/a",total_land_area*Inputs!AC$198,total_land_area*om_land_lease*(1+inflation_rate/100+om_land_lease_escal/100)^AA$2),0)</f>
        <v>0</v>
      </c>
      <c r="AC55" s="119">
        <f>IF(AC$2&lt;=analysis_period,IF(om_land_lease="n/a",total_land_area*Inputs!AD$198,total_land_area*om_land_lease*(1+inflation_rate/100+om_land_lease_escal/100)^AB$2),0)</f>
        <v>0</v>
      </c>
      <c r="AD55" s="119">
        <f>IF(AD$2&lt;=analysis_period,IF(om_land_lease="n/a",total_land_area*Inputs!AE$198,total_land_area*om_land_lease*(1+inflation_rate/100+om_land_lease_escal/100)^AC$2),0)</f>
        <v>0</v>
      </c>
      <c r="AE55" s="119">
        <f>IF(AE$2&lt;=analysis_period,IF(om_land_lease="n/a",total_land_area*Inputs!AF$198,total_land_area*om_land_lease*(1+inflation_rate/100+om_land_lease_escal/100)^AD$2),0)</f>
        <v>0</v>
      </c>
      <c r="AF55" s="119">
        <f>IF(AF$2&lt;=analysis_period,IF(om_land_lease="n/a",total_land_area*Inputs!AG$198,total_land_area*om_land_lease*(1+inflation_rate/100+om_land_lease_escal/100)^AE$2),0)</f>
        <v>0</v>
      </c>
      <c r="AG55" s="119">
        <f>IF(AG$2&lt;=analysis_period,IF(om_land_lease="n/a",total_land_area*Inputs!AH$198,total_land_area*om_land_lease*(1+inflation_rate/100+om_land_lease_escal/100)^AF$2),0)</f>
        <v>0</v>
      </c>
      <c r="AH55" s="119">
        <f>IF(AH$2&lt;=analysis_period,IF(om_land_lease="n/a",total_land_area*Inputs!AI$198,total_land_area*om_land_lease*(1+inflation_rate/100+om_land_lease_escal/100)^AG$2),0)</f>
        <v>0</v>
      </c>
      <c r="AI55" s="119">
        <f>IF(AI$2&lt;=analysis_period,IF(om_land_lease="n/a",total_land_area*Inputs!AJ$198,total_land_area*om_land_lease*(1+inflation_rate/100+om_land_lease_escal/100)^AH$2),0)</f>
        <v>0</v>
      </c>
      <c r="AJ55" s="119">
        <f>IF(AJ$2&lt;=analysis_period,IF(om_land_lease="n/a",total_land_area*Inputs!AK$198,total_land_area*om_land_lease*(1+inflation_rate/100+om_land_lease_escal/100)^AI$2),0)</f>
        <v>0</v>
      </c>
      <c r="AK55" s="119">
        <f>IF(AK$2&lt;=analysis_period,IF(om_land_lease="n/a",total_land_area*Inputs!AL$198,total_land_area*om_land_lease*(1+inflation_rate/100+om_land_lease_escal/100)^AJ$2),0)</f>
        <v>0</v>
      </c>
      <c r="AL55" s="119">
        <f>IF(AL$2&lt;=analysis_period,IF(om_land_lease="n/a",total_land_area*Inputs!AM$198,total_land_area*om_land_lease*(1+inflation_rate/100+om_land_lease_escal/100)^AK$2),0)</f>
        <v>0</v>
      </c>
      <c r="AM55" s="119">
        <f>IF(AM$2&lt;=analysis_period,IF(om_land_lease="n/a",total_land_area*Inputs!AN$198,total_land_area*om_land_lease*(1+inflation_rate/100+om_land_lease_escal/100)^AL$2),0)</f>
        <v>0</v>
      </c>
      <c r="AN55" s="119">
        <f>IF(AN$2&lt;=analysis_period,IF(om_land_lease="n/a",total_land_area*Inputs!AO$198,total_land_area*om_land_lease*(1+inflation_rate/100+om_land_lease_escal/100)^AM$2),0)</f>
        <v>0</v>
      </c>
      <c r="AO55" s="119">
        <f>IF(AO$2&lt;=analysis_period,IF(om_land_lease="n/a",total_land_area*Inputs!AP$198,total_land_area*om_land_lease*(1+inflation_rate/100+om_land_lease_escal/100)^AN$2),0)</f>
        <v>0</v>
      </c>
      <c r="AP55" s="119">
        <f>IF(AP$2&lt;=analysis_period,IF(om_land_lease="n/a",total_land_area*Inputs!AQ$198,total_land_area*om_land_lease*(1+inflation_rate/100+om_land_lease_escal/100)^AO$2),0)</f>
        <v>0</v>
      </c>
    </row>
    <row r="56" spans="1:42" x14ac:dyDescent="0.2">
      <c r="A56" s="18" t="s">
        <v>356</v>
      </c>
      <c r="C56" s="119">
        <f t="shared" ref="C56:AP56" si="12">C26*property_tax_rate/100</f>
        <v>0</v>
      </c>
      <c r="D56" s="119">
        <f t="shared" si="12"/>
        <v>0</v>
      </c>
      <c r="E56" s="119">
        <f t="shared" si="12"/>
        <v>0</v>
      </c>
      <c r="F56" s="119">
        <f t="shared" si="12"/>
        <v>0</v>
      </c>
      <c r="G56" s="119">
        <f t="shared" si="12"/>
        <v>0</v>
      </c>
      <c r="H56" s="119">
        <f t="shared" si="12"/>
        <v>0</v>
      </c>
      <c r="I56" s="119">
        <f t="shared" si="12"/>
        <v>0</v>
      </c>
      <c r="J56" s="119">
        <f t="shared" si="12"/>
        <v>0</v>
      </c>
      <c r="K56" s="119">
        <f t="shared" si="12"/>
        <v>0</v>
      </c>
      <c r="L56" s="119">
        <f t="shared" si="12"/>
        <v>0</v>
      </c>
      <c r="M56" s="119">
        <f t="shared" si="12"/>
        <v>0</v>
      </c>
      <c r="N56" s="119">
        <f t="shared" si="12"/>
        <v>0</v>
      </c>
      <c r="O56" s="119">
        <f t="shared" si="12"/>
        <v>0</v>
      </c>
      <c r="P56" s="119">
        <f t="shared" si="12"/>
        <v>0</v>
      </c>
      <c r="Q56" s="119">
        <f t="shared" si="12"/>
        <v>0</v>
      </c>
      <c r="R56" s="119">
        <f t="shared" si="12"/>
        <v>0</v>
      </c>
      <c r="S56" s="119">
        <f t="shared" si="12"/>
        <v>0</v>
      </c>
      <c r="T56" s="119">
        <f t="shared" si="12"/>
        <v>0</v>
      </c>
      <c r="U56" s="119">
        <f t="shared" si="12"/>
        <v>0</v>
      </c>
      <c r="V56" s="119">
        <f t="shared" si="12"/>
        <v>0</v>
      </c>
      <c r="W56" s="119">
        <f t="shared" si="12"/>
        <v>0</v>
      </c>
      <c r="X56" s="119">
        <f t="shared" si="12"/>
        <v>0</v>
      </c>
      <c r="Y56" s="119">
        <f t="shared" si="12"/>
        <v>0</v>
      </c>
      <c r="Z56" s="119">
        <f t="shared" si="12"/>
        <v>0</v>
      </c>
      <c r="AA56" s="119">
        <f t="shared" si="12"/>
        <v>0</v>
      </c>
      <c r="AB56" s="119">
        <f t="shared" si="12"/>
        <v>0</v>
      </c>
      <c r="AC56" s="119">
        <f t="shared" si="12"/>
        <v>0</v>
      </c>
      <c r="AD56" s="119">
        <f t="shared" si="12"/>
        <v>0</v>
      </c>
      <c r="AE56" s="119">
        <f t="shared" si="12"/>
        <v>0</v>
      </c>
      <c r="AF56" s="119">
        <f t="shared" si="12"/>
        <v>0</v>
      </c>
      <c r="AG56" s="119">
        <f t="shared" si="12"/>
        <v>0</v>
      </c>
      <c r="AH56" s="119">
        <f t="shared" si="12"/>
        <v>0</v>
      </c>
      <c r="AI56" s="119">
        <f t="shared" si="12"/>
        <v>0</v>
      </c>
      <c r="AJ56" s="119">
        <f t="shared" si="12"/>
        <v>0</v>
      </c>
      <c r="AK56" s="119">
        <f t="shared" si="12"/>
        <v>0</v>
      </c>
      <c r="AL56" s="119">
        <f t="shared" si="12"/>
        <v>0</v>
      </c>
      <c r="AM56" s="119">
        <f t="shared" si="12"/>
        <v>0</v>
      </c>
      <c r="AN56" s="119">
        <f t="shared" si="12"/>
        <v>0</v>
      </c>
      <c r="AO56" s="119">
        <f t="shared" si="12"/>
        <v>0</v>
      </c>
      <c r="AP56" s="119">
        <f t="shared" si="12"/>
        <v>0</v>
      </c>
    </row>
    <row r="57" spans="1:42" x14ac:dyDescent="0.2">
      <c r="A57" s="18" t="s">
        <v>263</v>
      </c>
      <c r="C57" s="119">
        <f>IF(C2&lt;=analysis_period,DeveloperMargin*(1+sponsor_operating_margin_escalation/100)^'Cash Flow'!B2,0)</f>
        <v>2000000</v>
      </c>
      <c r="D57" s="119">
        <f>IF(D2&lt;=analysis_period,DeveloperMargin*(1+sponsor_operating_margin_escalation/100)^'Cash Flow'!C2,0)</f>
        <v>2040000</v>
      </c>
      <c r="E57" s="119">
        <f>IF(E2&lt;=analysis_period,DeveloperMargin*(1+sponsor_operating_margin_escalation/100)^'Cash Flow'!D2,0)</f>
        <v>2080800</v>
      </c>
      <c r="F57" s="119">
        <f>IF(F2&lt;=analysis_period,DeveloperMargin*(1+sponsor_operating_margin_escalation/100)^'Cash Flow'!E2,0)</f>
        <v>2122416</v>
      </c>
      <c r="G57" s="119">
        <f>IF(G2&lt;=analysis_period,DeveloperMargin*(1+sponsor_operating_margin_escalation/100)^'Cash Flow'!F2,0)</f>
        <v>2164864.3199999998</v>
      </c>
      <c r="H57" s="119">
        <f>IF(H2&lt;=analysis_period,DeveloperMargin*(1+sponsor_operating_margin_escalation/100)^'Cash Flow'!G2,0)</f>
        <v>2208161.6063999999</v>
      </c>
      <c r="I57" s="119">
        <f>IF(I2&lt;=analysis_period,DeveloperMargin*(1+sponsor_operating_margin_escalation/100)^'Cash Flow'!H2,0)</f>
        <v>2252324.8385280003</v>
      </c>
      <c r="J57" s="119">
        <f>IF(J2&lt;=analysis_period,DeveloperMargin*(1+sponsor_operating_margin_escalation/100)^'Cash Flow'!I2,0)</f>
        <v>2297371.3352985596</v>
      </c>
      <c r="K57" s="119">
        <f>IF(K2&lt;=analysis_period,DeveloperMargin*(1+sponsor_operating_margin_escalation/100)^'Cash Flow'!J2,0)</f>
        <v>2343318.762004531</v>
      </c>
      <c r="L57" s="119">
        <f>IF(L2&lt;=analysis_period,DeveloperMargin*(1+sponsor_operating_margin_escalation/100)^'Cash Flow'!K2,0)</f>
        <v>2390185.1372446218</v>
      </c>
      <c r="M57" s="119">
        <f>IF(M2&lt;=analysis_period,DeveloperMargin*(1+sponsor_operating_margin_escalation/100)^'Cash Flow'!L2,0)</f>
        <v>2437988.8399895141</v>
      </c>
      <c r="N57" s="119">
        <f>IF(N2&lt;=analysis_period,DeveloperMargin*(1+sponsor_operating_margin_escalation/100)^'Cash Flow'!M2,0)</f>
        <v>2486748.6167893042</v>
      </c>
      <c r="O57" s="119">
        <f>IF(O2&lt;=analysis_period,DeveloperMargin*(1+sponsor_operating_margin_escalation/100)^'Cash Flow'!N2,0)</f>
        <v>2536483.5891250907</v>
      </c>
      <c r="P57" s="119">
        <f>IF(P2&lt;=analysis_period,DeveloperMargin*(1+sponsor_operating_margin_escalation/100)^'Cash Flow'!O2,0)</f>
        <v>2587213.2609075923</v>
      </c>
      <c r="Q57" s="119">
        <f>IF(Q2&lt;=analysis_period,DeveloperMargin*(1+sponsor_operating_margin_escalation/100)^'Cash Flow'!P2,0)</f>
        <v>2638957.5261257445</v>
      </c>
      <c r="R57" s="119">
        <f>IF(R2&lt;=analysis_period,DeveloperMargin*(1+sponsor_operating_margin_escalation/100)^'Cash Flow'!Q2,0)</f>
        <v>2691736.6766482582</v>
      </c>
      <c r="S57" s="119">
        <f>IF(S2&lt;=analysis_period,DeveloperMargin*(1+sponsor_operating_margin_escalation/100)^'Cash Flow'!R2,0)</f>
        <v>2745571.4101812239</v>
      </c>
      <c r="T57" s="119">
        <f>IF(T2&lt;=analysis_period,DeveloperMargin*(1+sponsor_operating_margin_escalation/100)^'Cash Flow'!S2,0)</f>
        <v>2800482.838384849</v>
      </c>
      <c r="U57" s="119">
        <f>IF(U2&lt;=analysis_period,DeveloperMargin*(1+sponsor_operating_margin_escalation/100)^'Cash Flow'!T2,0)</f>
        <v>2856492.4951525456</v>
      </c>
      <c r="V57" s="119">
        <f>IF(V2&lt;=analysis_period,DeveloperMargin*(1+sponsor_operating_margin_escalation/100)^'Cash Flow'!U2,0)</f>
        <v>2913622.3450555964</v>
      </c>
      <c r="W57" s="119">
        <f>IF(W2&lt;=analysis_period,DeveloperMargin*(1+sponsor_operating_margin_escalation/100)^'Cash Flow'!V2,0)</f>
        <v>2971894.7919567083</v>
      </c>
      <c r="X57" s="119">
        <f>IF(X2&lt;=analysis_period,DeveloperMargin*(1+sponsor_operating_margin_escalation/100)^'Cash Flow'!W2,0)</f>
        <v>3031332.6877958425</v>
      </c>
      <c r="Y57" s="119">
        <f>IF(Y2&lt;=analysis_period,DeveloperMargin*(1+sponsor_operating_margin_escalation/100)^'Cash Flow'!X2,0)</f>
        <v>3091959.3415517593</v>
      </c>
      <c r="Z57" s="119">
        <f>IF(Z2&lt;=analysis_period,DeveloperMargin*(1+sponsor_operating_margin_escalation/100)^'Cash Flow'!Y2,0)</f>
        <v>3153798.528382794</v>
      </c>
      <c r="AA57" s="119">
        <f>IF(AA2&lt;=analysis_period,DeveloperMargin*(1+sponsor_operating_margin_escalation/100)^'Cash Flow'!Z2,0)</f>
        <v>3216874.4989504502</v>
      </c>
      <c r="AB57" s="119">
        <f>IF(AB2&lt;=analysis_period,DeveloperMargin*(1+sponsor_operating_margin_escalation/100)^'Cash Flow'!AA2,0)</f>
        <v>0</v>
      </c>
      <c r="AC57" s="119">
        <f>IF(AC2&lt;=analysis_period,DeveloperMargin*(1+sponsor_operating_margin_escalation/100)^'Cash Flow'!AB2,0)</f>
        <v>0</v>
      </c>
      <c r="AD57" s="119">
        <f>IF(AD2&lt;=analysis_period,DeveloperMargin*(1+sponsor_operating_margin_escalation/100)^'Cash Flow'!AC2,0)</f>
        <v>0</v>
      </c>
      <c r="AE57" s="119">
        <f>IF(AE2&lt;=analysis_period,DeveloperMargin*(1+sponsor_operating_margin_escalation/100)^'Cash Flow'!AD2,0)</f>
        <v>0</v>
      </c>
      <c r="AF57" s="119">
        <f>IF(AF2&lt;=analysis_period,DeveloperMargin*(1+sponsor_operating_margin_escalation/100)^'Cash Flow'!AE2,0)</f>
        <v>0</v>
      </c>
      <c r="AG57" s="119">
        <f>IF(AG2&lt;=analysis_period,DeveloperMargin*(1+sponsor_operating_margin_escalation/100)^'Cash Flow'!AF2,0)</f>
        <v>0</v>
      </c>
      <c r="AH57" s="119">
        <f>IF(AH2&lt;=analysis_period,DeveloperMargin*(1+sponsor_operating_margin_escalation/100)^'Cash Flow'!AG2,0)</f>
        <v>0</v>
      </c>
      <c r="AI57" s="119">
        <f>IF(AI2&lt;=analysis_period,DeveloperMargin*(1+sponsor_operating_margin_escalation/100)^'Cash Flow'!AH2,0)</f>
        <v>0</v>
      </c>
      <c r="AJ57" s="119">
        <f>IF(AJ2&lt;=analysis_period,DeveloperMargin*(1+sponsor_operating_margin_escalation/100)^'Cash Flow'!AI2,0)</f>
        <v>0</v>
      </c>
      <c r="AK57" s="119">
        <f>IF(AK2&lt;=analysis_period,DeveloperMargin*(1+sponsor_operating_margin_escalation/100)^'Cash Flow'!AJ2,0)</f>
        <v>0</v>
      </c>
      <c r="AL57" s="119">
        <f>IF(AL2&lt;=analysis_period,DeveloperMargin*(1+sponsor_operating_margin_escalation/100)^'Cash Flow'!AK2,0)</f>
        <v>0</v>
      </c>
      <c r="AM57" s="119">
        <f>IF(AM2&lt;=analysis_period,DeveloperMargin*(1+sponsor_operating_margin_escalation/100)^'Cash Flow'!AL2,0)</f>
        <v>0</v>
      </c>
      <c r="AN57" s="119">
        <f>IF(AN2&lt;=analysis_period,DeveloperMargin*(1+sponsor_operating_margin_escalation/100)^'Cash Flow'!AM2,0)</f>
        <v>0</v>
      </c>
      <c r="AO57" s="119">
        <f>IF(AO2&lt;=analysis_period,DeveloperMargin*(1+sponsor_operating_margin_escalation/100)^'Cash Flow'!AN2,0)</f>
        <v>0</v>
      </c>
      <c r="AP57" s="119">
        <f>IF(AP2&lt;=analysis_period,DeveloperMargin*(1+sponsor_operating_margin_escalation/100)^'Cash Flow'!AO2,0)</f>
        <v>0</v>
      </c>
    </row>
    <row r="58" spans="1:42" x14ac:dyDescent="0.2">
      <c r="A58" s="18" t="s">
        <v>29</v>
      </c>
      <c r="C58" s="119">
        <f t="shared" ref="C58:AP58" si="13">IF(C$2&lt;=analysis_period,total_installed_cost*insurance_rate/100*(1+inflation_rate/100)^B$2,0)</f>
        <v>0</v>
      </c>
      <c r="D58" s="119">
        <f t="shared" si="13"/>
        <v>0</v>
      </c>
      <c r="E58" s="119">
        <f t="shared" si="13"/>
        <v>0</v>
      </c>
      <c r="F58" s="119">
        <f t="shared" si="13"/>
        <v>0</v>
      </c>
      <c r="G58" s="119">
        <f t="shared" si="13"/>
        <v>0</v>
      </c>
      <c r="H58" s="119">
        <f t="shared" si="13"/>
        <v>0</v>
      </c>
      <c r="I58" s="119">
        <f t="shared" si="13"/>
        <v>0</v>
      </c>
      <c r="J58" s="119">
        <f t="shared" si="13"/>
        <v>0</v>
      </c>
      <c r="K58" s="119">
        <f t="shared" si="13"/>
        <v>0</v>
      </c>
      <c r="L58" s="119">
        <f t="shared" si="13"/>
        <v>0</v>
      </c>
      <c r="M58" s="119">
        <f t="shared" si="13"/>
        <v>0</v>
      </c>
      <c r="N58" s="119">
        <f t="shared" si="13"/>
        <v>0</v>
      </c>
      <c r="O58" s="119">
        <f t="shared" si="13"/>
        <v>0</v>
      </c>
      <c r="P58" s="119">
        <f t="shared" si="13"/>
        <v>0</v>
      </c>
      <c r="Q58" s="119">
        <f t="shared" si="13"/>
        <v>0</v>
      </c>
      <c r="R58" s="119">
        <f t="shared" si="13"/>
        <v>0</v>
      </c>
      <c r="S58" s="119">
        <f t="shared" si="13"/>
        <v>0</v>
      </c>
      <c r="T58" s="119">
        <f t="shared" si="13"/>
        <v>0</v>
      </c>
      <c r="U58" s="119">
        <f t="shared" si="13"/>
        <v>0</v>
      </c>
      <c r="V58" s="119">
        <f t="shared" si="13"/>
        <v>0</v>
      </c>
      <c r="W58" s="119">
        <f t="shared" si="13"/>
        <v>0</v>
      </c>
      <c r="X58" s="119">
        <f t="shared" si="13"/>
        <v>0</v>
      </c>
      <c r="Y58" s="119">
        <f t="shared" si="13"/>
        <v>0</v>
      </c>
      <c r="Z58" s="119">
        <f t="shared" si="13"/>
        <v>0</v>
      </c>
      <c r="AA58" s="119">
        <f t="shared" si="13"/>
        <v>0</v>
      </c>
      <c r="AB58" s="119">
        <f t="shared" si="13"/>
        <v>0</v>
      </c>
      <c r="AC58" s="119">
        <f t="shared" si="13"/>
        <v>0</v>
      </c>
      <c r="AD58" s="119">
        <f t="shared" si="13"/>
        <v>0</v>
      </c>
      <c r="AE58" s="119">
        <f t="shared" si="13"/>
        <v>0</v>
      </c>
      <c r="AF58" s="119">
        <f t="shared" si="13"/>
        <v>0</v>
      </c>
      <c r="AG58" s="119">
        <f t="shared" si="13"/>
        <v>0</v>
      </c>
      <c r="AH58" s="119">
        <f t="shared" si="13"/>
        <v>0</v>
      </c>
      <c r="AI58" s="119">
        <f t="shared" si="13"/>
        <v>0</v>
      </c>
      <c r="AJ58" s="119">
        <f t="shared" si="13"/>
        <v>0</v>
      </c>
      <c r="AK58" s="119">
        <f t="shared" si="13"/>
        <v>0</v>
      </c>
      <c r="AL58" s="119">
        <f t="shared" si="13"/>
        <v>0</v>
      </c>
      <c r="AM58" s="119">
        <f t="shared" si="13"/>
        <v>0</v>
      </c>
      <c r="AN58" s="119">
        <f t="shared" si="13"/>
        <v>0</v>
      </c>
      <c r="AO58" s="119">
        <f t="shared" si="13"/>
        <v>0</v>
      </c>
      <c r="AP58" s="119">
        <f t="shared" si="13"/>
        <v>0</v>
      </c>
    </row>
    <row r="59" spans="1:42" x14ac:dyDescent="0.2">
      <c r="A59" s="30" t="s">
        <v>19</v>
      </c>
      <c r="B59" s="30"/>
      <c r="C59" s="137">
        <f>C$30+C$34+C$38+C$39+SUM(C41:C44)+SUM(C46:C58)</f>
        <v>3500000</v>
      </c>
      <c r="D59" s="137">
        <f t="shared" ref="D59:AP59" si="14">D$30+D$34+D$38+D$39+SUM(D41:D44)+SUM(D46:D58)</f>
        <v>3577500</v>
      </c>
      <c r="E59" s="137">
        <f t="shared" si="14"/>
        <v>3656737.5</v>
      </c>
      <c r="F59" s="137">
        <f t="shared" si="14"/>
        <v>3737751.9375</v>
      </c>
      <c r="G59" s="137">
        <f t="shared" si="14"/>
        <v>3820583.6559374994</v>
      </c>
      <c r="H59" s="137">
        <f t="shared" si="14"/>
        <v>3905273.9257359365</v>
      </c>
      <c r="I59" s="137">
        <f t="shared" si="14"/>
        <v>3991864.9658473358</v>
      </c>
      <c r="J59" s="137">
        <f t="shared" si="14"/>
        <v>4080399.9658008786</v>
      </c>
      <c r="K59" s="137">
        <f t="shared" si="14"/>
        <v>4170923.1082694074</v>
      </c>
      <c r="L59" s="137">
        <f t="shared" si="14"/>
        <v>4263479.5921661202</v>
      </c>
      <c r="M59" s="137">
        <f t="shared" si="14"/>
        <v>4358115.6562840501</v>
      </c>
      <c r="N59" s="137">
        <f t="shared" si="14"/>
        <v>4454878.6034912029</v>
      </c>
      <c r="O59" s="137">
        <f t="shared" si="14"/>
        <v>4553816.8254945371</v>
      </c>
      <c r="P59" s="137">
        <f t="shared" si="14"/>
        <v>4654979.8281862745</v>
      </c>
      <c r="Q59" s="137">
        <f t="shared" si="14"/>
        <v>4758418.2575863935</v>
      </c>
      <c r="R59" s="137">
        <f t="shared" si="14"/>
        <v>4864183.9263954237</v>
      </c>
      <c r="S59" s="137">
        <f t="shared" si="14"/>
        <v>4972329.8411720684</v>
      </c>
      <c r="T59" s="137">
        <f t="shared" si="14"/>
        <v>5082910.2301504649</v>
      </c>
      <c r="U59" s="137">
        <f t="shared" si="14"/>
        <v>5195980.571712302</v>
      </c>
      <c r="V59" s="137">
        <f t="shared" si="14"/>
        <v>5311597.6235293467</v>
      </c>
      <c r="W59" s="137">
        <f t="shared" si="14"/>
        <v>5429819.4523923015</v>
      </c>
      <c r="X59" s="137">
        <f t="shared" si="14"/>
        <v>5550705.4647423252</v>
      </c>
      <c r="Y59" s="137">
        <f t="shared" si="14"/>
        <v>5674316.437921904</v>
      </c>
      <c r="Z59" s="137">
        <f t="shared" si="14"/>
        <v>5800714.5521621928</v>
      </c>
      <c r="AA59" s="137">
        <f t="shared" si="14"/>
        <v>5929963.4233243335</v>
      </c>
      <c r="AB59" s="137">
        <f t="shared" si="14"/>
        <v>0</v>
      </c>
      <c r="AC59" s="137">
        <f t="shared" si="14"/>
        <v>0</v>
      </c>
      <c r="AD59" s="137">
        <f t="shared" si="14"/>
        <v>0</v>
      </c>
      <c r="AE59" s="137">
        <f t="shared" si="14"/>
        <v>0</v>
      </c>
      <c r="AF59" s="137">
        <f t="shared" si="14"/>
        <v>0</v>
      </c>
      <c r="AG59" s="137">
        <f t="shared" si="14"/>
        <v>0</v>
      </c>
      <c r="AH59" s="137">
        <f t="shared" si="14"/>
        <v>0</v>
      </c>
      <c r="AI59" s="137">
        <f t="shared" si="14"/>
        <v>0</v>
      </c>
      <c r="AJ59" s="137">
        <f t="shared" si="14"/>
        <v>0</v>
      </c>
      <c r="AK59" s="137">
        <f t="shared" si="14"/>
        <v>0</v>
      </c>
      <c r="AL59" s="137">
        <f t="shared" si="14"/>
        <v>0</v>
      </c>
      <c r="AM59" s="137">
        <f t="shared" si="14"/>
        <v>0</v>
      </c>
      <c r="AN59" s="137">
        <f t="shared" si="14"/>
        <v>0</v>
      </c>
      <c r="AO59" s="137">
        <f t="shared" si="14"/>
        <v>0</v>
      </c>
      <c r="AP59" s="137">
        <f t="shared" si="14"/>
        <v>0</v>
      </c>
    </row>
    <row r="61" spans="1:42" x14ac:dyDescent="0.2">
      <c r="A61" s="206" t="s">
        <v>264</v>
      </c>
      <c r="B61" s="30"/>
      <c r="C61" s="137">
        <f t="shared" ref="C61:AP61" si="15">C24-C59</f>
        <v>4976300</v>
      </c>
      <c r="D61" s="137">
        <f t="shared" si="15"/>
        <v>4940760</v>
      </c>
      <c r="E61" s="137">
        <f t="shared" si="15"/>
        <v>4903682.5</v>
      </c>
      <c r="F61" s="137">
        <f t="shared" si="15"/>
        <v>4865048.0625</v>
      </c>
      <c r="G61" s="137">
        <f t="shared" si="15"/>
        <v>4824796.3440625006</v>
      </c>
      <c r="H61" s="137">
        <f t="shared" si="15"/>
        <v>4782896.0742640635</v>
      </c>
      <c r="I61" s="137">
        <f t="shared" si="15"/>
        <v>4739315.0341526642</v>
      </c>
      <c r="J61" s="137">
        <f t="shared" si="15"/>
        <v>4694000.0341991214</v>
      </c>
      <c r="K61" s="137">
        <f t="shared" si="15"/>
        <v>4646906.8917305926</v>
      </c>
      <c r="L61" s="137">
        <f t="shared" si="15"/>
        <v>4598000.4078338798</v>
      </c>
      <c r="M61" s="137">
        <f t="shared" si="15"/>
        <v>4547234.3437159499</v>
      </c>
      <c r="N61" s="137">
        <f t="shared" si="15"/>
        <v>4494551.3965087971</v>
      </c>
      <c r="O61" s="137">
        <f t="shared" si="15"/>
        <v>4439913.1745054629</v>
      </c>
      <c r="P61" s="137">
        <f t="shared" si="15"/>
        <v>4383270.1718137255</v>
      </c>
      <c r="Q61" s="137">
        <f t="shared" si="15"/>
        <v>4324561.7424136065</v>
      </c>
      <c r="R61" s="137">
        <f t="shared" si="15"/>
        <v>4263766.0736045763</v>
      </c>
      <c r="S61" s="137">
        <f t="shared" si="15"/>
        <v>4200800.1588279316</v>
      </c>
      <c r="T61" s="137">
        <f t="shared" si="15"/>
        <v>4135629.7698495351</v>
      </c>
      <c r="U61" s="137">
        <f t="shared" si="15"/>
        <v>4068189.428287698</v>
      </c>
      <c r="V61" s="137">
        <f t="shared" si="15"/>
        <v>3998432.3764706533</v>
      </c>
      <c r="W61" s="137">
        <f t="shared" si="15"/>
        <v>3926290.5476076985</v>
      </c>
      <c r="X61" s="137">
        <f t="shared" si="15"/>
        <v>3851714.5352576748</v>
      </c>
      <c r="Y61" s="137">
        <f t="shared" si="15"/>
        <v>3774643.562078096</v>
      </c>
      <c r="Z61" s="137">
        <f t="shared" si="15"/>
        <v>3695025.4478378072</v>
      </c>
      <c r="AA61" s="137">
        <f t="shared" si="15"/>
        <v>3612776.5766756665</v>
      </c>
      <c r="AB61" s="137">
        <f t="shared" si="15"/>
        <v>0</v>
      </c>
      <c r="AC61" s="137">
        <f t="shared" si="15"/>
        <v>0</v>
      </c>
      <c r="AD61" s="137">
        <f t="shared" si="15"/>
        <v>0</v>
      </c>
      <c r="AE61" s="137">
        <f t="shared" si="15"/>
        <v>0</v>
      </c>
      <c r="AF61" s="137">
        <f t="shared" si="15"/>
        <v>0</v>
      </c>
      <c r="AG61" s="137">
        <f t="shared" si="15"/>
        <v>0</v>
      </c>
      <c r="AH61" s="137">
        <f t="shared" si="15"/>
        <v>0</v>
      </c>
      <c r="AI61" s="137">
        <f t="shared" si="15"/>
        <v>0</v>
      </c>
      <c r="AJ61" s="137">
        <f t="shared" si="15"/>
        <v>0</v>
      </c>
      <c r="AK61" s="137">
        <f t="shared" si="15"/>
        <v>0</v>
      </c>
      <c r="AL61" s="137">
        <f t="shared" si="15"/>
        <v>0</v>
      </c>
      <c r="AM61" s="137">
        <f t="shared" si="15"/>
        <v>0</v>
      </c>
      <c r="AN61" s="137">
        <f t="shared" si="15"/>
        <v>0</v>
      </c>
      <c r="AO61" s="137">
        <f t="shared" si="15"/>
        <v>0</v>
      </c>
      <c r="AP61" s="137">
        <f t="shared" si="15"/>
        <v>0</v>
      </c>
    </row>
    <row r="62" spans="1:42" x14ac:dyDescent="0.2">
      <c r="A62" s="20"/>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row>
    <row r="63" spans="1:42" x14ac:dyDescent="0.2">
      <c r="A63" s="282" t="s">
        <v>339</v>
      </c>
      <c r="B63" s="281"/>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row>
    <row r="64" spans="1:42" x14ac:dyDescent="0.2">
      <c r="A64" s="20" t="s">
        <v>340</v>
      </c>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row>
    <row r="65" spans="1:42" x14ac:dyDescent="0.2">
      <c r="A65" s="18" t="s">
        <v>169</v>
      </c>
      <c r="B65" s="119">
        <f>-total_installed_cost</f>
        <v>-106498000</v>
      </c>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row>
    <row r="66" spans="1:42" x14ac:dyDescent="0.2">
      <c r="A66" s="18" t="s">
        <v>268</v>
      </c>
      <c r="B66" s="119">
        <f>-cost_equity_closing</f>
        <v>-300000</v>
      </c>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row>
    <row r="67" spans="1:42" x14ac:dyDescent="0.2">
      <c r="A67" s="18" t="s">
        <v>170</v>
      </c>
      <c r="B67" s="120">
        <f>-Inputs!$I$75</f>
        <v>-1996837.5</v>
      </c>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row>
    <row r="68" spans="1:42" x14ac:dyDescent="0.2">
      <c r="A68" s="18" t="s">
        <v>341</v>
      </c>
      <c r="B68" s="119">
        <f>SUM(B65:B67)</f>
        <v>-108794837.5</v>
      </c>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row>
    <row r="69" spans="1:42" x14ac:dyDescent="0.2">
      <c r="A69" s="20"/>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row>
    <row r="70" spans="1:42" x14ac:dyDescent="0.2">
      <c r="A70" s="20" t="s">
        <v>342</v>
      </c>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row>
    <row r="71" spans="1:42" x14ac:dyDescent="0.2">
      <c r="A71" s="18" t="s">
        <v>169</v>
      </c>
      <c r="B71" s="119">
        <f>total_installed_cost</f>
        <v>106498000</v>
      </c>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row>
    <row r="72" spans="1:42" x14ac:dyDescent="0.2">
      <c r="A72" s="18" t="s">
        <v>309</v>
      </c>
      <c r="B72" s="119">
        <f>Inputs!$C$62</f>
        <v>3194940</v>
      </c>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row>
    <row r="73" spans="1:42" x14ac:dyDescent="0.2">
      <c r="A73" s="18" t="s">
        <v>268</v>
      </c>
      <c r="B73" s="119">
        <f>cost_equity_closing</f>
        <v>300000</v>
      </c>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row>
    <row r="74" spans="1:42" x14ac:dyDescent="0.2">
      <c r="A74" s="18" t="s">
        <v>170</v>
      </c>
      <c r="B74" s="119">
        <f>Inputs!$I$75</f>
        <v>1996837.5</v>
      </c>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row>
    <row r="75" spans="1:42" x14ac:dyDescent="0.2">
      <c r="A75" s="18" t="s">
        <v>269</v>
      </c>
      <c r="B75" s="120">
        <f>cost_other_financing</f>
        <v>0</v>
      </c>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row>
    <row r="76" spans="1:42" x14ac:dyDescent="0.2">
      <c r="A76" s="18" t="s">
        <v>267</v>
      </c>
      <c r="B76" s="119">
        <f>SUM(B71:B75)</f>
        <v>111989777.5</v>
      </c>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row>
    <row r="77" spans="1:42" x14ac:dyDescent="0.2">
      <c r="A77" s="18"/>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row>
    <row r="78" spans="1:42" x14ac:dyDescent="0.2">
      <c r="A78" s="278" t="s">
        <v>362</v>
      </c>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row>
    <row r="79" spans="1:42" x14ac:dyDescent="0.2">
      <c r="A79" s="18" t="s">
        <v>344</v>
      </c>
      <c r="B79" s="119">
        <f>B76</f>
        <v>111989777.5</v>
      </c>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row>
    <row r="80" spans="1:42" x14ac:dyDescent="0.2">
      <c r="A80" s="18" t="s">
        <v>363</v>
      </c>
      <c r="B80" s="119">
        <f>C632</f>
        <v>0</v>
      </c>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row>
    <row r="81" spans="1:42" x14ac:dyDescent="0.2">
      <c r="A81" s="18" t="s">
        <v>364</v>
      </c>
      <c r="B81" s="120">
        <f>C625</f>
        <v>0</v>
      </c>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row>
    <row r="82" spans="1:42" x14ac:dyDescent="0.2">
      <c r="A82" s="18" t="s">
        <v>365</v>
      </c>
      <c r="B82" s="119">
        <f>SUM(B79:B81)</f>
        <v>111989777.5</v>
      </c>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row>
    <row r="83" spans="1:42" x14ac:dyDescent="0.2">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row>
    <row r="84" spans="1:42" x14ac:dyDescent="0.2">
      <c r="A84" s="82" t="s">
        <v>265</v>
      </c>
      <c r="B84" s="7"/>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row>
    <row r="85" spans="1:42" x14ac:dyDescent="0.2">
      <c r="A85" s="20" t="s">
        <v>210</v>
      </c>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row>
    <row r="86" spans="1:42" x14ac:dyDescent="0.2">
      <c r="A86" s="18" t="s">
        <v>266</v>
      </c>
      <c r="B86" s="119"/>
      <c r="C86" s="119">
        <f t="shared" ref="C86:AP86" si="16">C61</f>
        <v>4976300</v>
      </c>
      <c r="D86" s="119">
        <f t="shared" si="16"/>
        <v>4940760</v>
      </c>
      <c r="E86" s="119">
        <f t="shared" si="16"/>
        <v>4903682.5</v>
      </c>
      <c r="F86" s="119">
        <f t="shared" si="16"/>
        <v>4865048.0625</v>
      </c>
      <c r="G86" s="119">
        <f t="shared" si="16"/>
        <v>4824796.3440625006</v>
      </c>
      <c r="H86" s="119">
        <f t="shared" si="16"/>
        <v>4782896.0742640635</v>
      </c>
      <c r="I86" s="119">
        <f t="shared" si="16"/>
        <v>4739315.0341526642</v>
      </c>
      <c r="J86" s="119">
        <f t="shared" si="16"/>
        <v>4694000.0341991214</v>
      </c>
      <c r="K86" s="119">
        <f t="shared" si="16"/>
        <v>4646906.8917305926</v>
      </c>
      <c r="L86" s="119">
        <f t="shared" si="16"/>
        <v>4598000.4078338798</v>
      </c>
      <c r="M86" s="119">
        <f t="shared" si="16"/>
        <v>4547234.3437159499</v>
      </c>
      <c r="N86" s="119">
        <f t="shared" si="16"/>
        <v>4494551.3965087971</v>
      </c>
      <c r="O86" s="119">
        <f t="shared" si="16"/>
        <v>4439913.1745054629</v>
      </c>
      <c r="P86" s="119">
        <f t="shared" si="16"/>
        <v>4383270.1718137255</v>
      </c>
      <c r="Q86" s="119">
        <f t="shared" si="16"/>
        <v>4324561.7424136065</v>
      </c>
      <c r="R86" s="119">
        <f t="shared" si="16"/>
        <v>4263766.0736045763</v>
      </c>
      <c r="S86" s="119">
        <f t="shared" si="16"/>
        <v>4200800.1588279316</v>
      </c>
      <c r="T86" s="119">
        <f t="shared" si="16"/>
        <v>4135629.7698495351</v>
      </c>
      <c r="U86" s="119">
        <f t="shared" si="16"/>
        <v>4068189.428287698</v>
      </c>
      <c r="V86" s="119">
        <f t="shared" si="16"/>
        <v>3998432.3764706533</v>
      </c>
      <c r="W86" s="119">
        <f t="shared" si="16"/>
        <v>3926290.5476076985</v>
      </c>
      <c r="X86" s="119">
        <f t="shared" si="16"/>
        <v>3851714.5352576748</v>
      </c>
      <c r="Y86" s="119">
        <f t="shared" si="16"/>
        <v>3774643.562078096</v>
      </c>
      <c r="Z86" s="119">
        <f t="shared" si="16"/>
        <v>3695025.4478378072</v>
      </c>
      <c r="AA86" s="119">
        <f t="shared" si="16"/>
        <v>3612776.5766756665</v>
      </c>
      <c r="AB86" s="119">
        <f t="shared" si="16"/>
        <v>0</v>
      </c>
      <c r="AC86" s="119">
        <f t="shared" si="16"/>
        <v>0</v>
      </c>
      <c r="AD86" s="119">
        <f t="shared" si="16"/>
        <v>0</v>
      </c>
      <c r="AE86" s="119">
        <f t="shared" si="16"/>
        <v>0</v>
      </c>
      <c r="AF86" s="119">
        <f t="shared" si="16"/>
        <v>0</v>
      </c>
      <c r="AG86" s="119">
        <f t="shared" si="16"/>
        <v>0</v>
      </c>
      <c r="AH86" s="119">
        <f t="shared" si="16"/>
        <v>0</v>
      </c>
      <c r="AI86" s="119">
        <f t="shared" si="16"/>
        <v>0</v>
      </c>
      <c r="AJ86" s="119">
        <f t="shared" si="16"/>
        <v>0</v>
      </c>
      <c r="AK86" s="119">
        <f t="shared" si="16"/>
        <v>0</v>
      </c>
      <c r="AL86" s="119">
        <f t="shared" si="16"/>
        <v>0</v>
      </c>
      <c r="AM86" s="119">
        <f t="shared" si="16"/>
        <v>0</v>
      </c>
      <c r="AN86" s="119">
        <f t="shared" si="16"/>
        <v>0</v>
      </c>
      <c r="AO86" s="119">
        <f t="shared" si="16"/>
        <v>0</v>
      </c>
      <c r="AP86" s="119">
        <f t="shared" si="16"/>
        <v>0</v>
      </c>
    </row>
    <row r="87" spans="1:42" x14ac:dyDescent="0.2">
      <c r="A87" s="18" t="s">
        <v>215</v>
      </c>
      <c r="B87" s="119">
        <v>0</v>
      </c>
      <c r="C87" s="119">
        <f>C770</f>
        <v>9375</v>
      </c>
      <c r="D87" s="119">
        <f t="shared" ref="D87:AP87" si="17">D770</f>
        <v>21384.156841448046</v>
      </c>
      <c r="E87" s="119">
        <f t="shared" si="17"/>
        <v>33399.173057896092</v>
      </c>
      <c r="F87" s="119">
        <f t="shared" si="17"/>
        <v>45420.195133719149</v>
      </c>
      <c r="G87" s="119">
        <f t="shared" si="17"/>
        <v>57447.373215401567</v>
      </c>
      <c r="H87" s="119">
        <f t="shared" si="17"/>
        <v>69480.861203089837</v>
      </c>
      <c r="I87" s="119">
        <f t="shared" si="17"/>
        <v>81520.816844434157</v>
      </c>
      <c r="J87" s="119">
        <f t="shared" si="17"/>
        <v>93567.401830775852</v>
      </c>
      <c r="K87" s="119">
        <f t="shared" si="17"/>
        <v>105620.78189573988</v>
      </c>
      <c r="L87" s="119">
        <f t="shared" si="17"/>
        <v>117681.12691629183</v>
      </c>
      <c r="M87" s="119">
        <f t="shared" si="17"/>
        <v>129748.61101632135</v>
      </c>
      <c r="N87" s="119">
        <f t="shared" si="17"/>
        <v>141823.41267281541</v>
      </c>
      <c r="O87" s="119">
        <f t="shared" si="17"/>
        <v>153905.71482468562</v>
      </c>
      <c r="P87" s="119">
        <f t="shared" si="17"/>
        <v>165995.7049843164</v>
      </c>
      <c r="Q87" s="119">
        <f t="shared" si="17"/>
        <v>178093.57535190173</v>
      </c>
      <c r="R87" s="119">
        <f t="shared" si="17"/>
        <v>13577.795310919782</v>
      </c>
      <c r="S87" s="119">
        <f t="shared" si="17"/>
        <v>13917.240193692778</v>
      </c>
      <c r="T87" s="119">
        <f t="shared" si="17"/>
        <v>14265.171198535101</v>
      </c>
      <c r="U87" s="119">
        <f t="shared" si="17"/>
        <v>14621.800478498477</v>
      </c>
      <c r="V87" s="119">
        <f t="shared" si="17"/>
        <v>14987.345490460939</v>
      </c>
      <c r="W87" s="119">
        <f t="shared" si="17"/>
        <v>15362.029127722457</v>
      </c>
      <c r="X87" s="119">
        <f t="shared" si="17"/>
        <v>15746.079855915517</v>
      </c>
      <c r="Y87" s="119">
        <f t="shared" si="17"/>
        <v>16139.731852313405</v>
      </c>
      <c r="Z87" s="119">
        <f t="shared" si="17"/>
        <v>16543.225148621244</v>
      </c>
      <c r="AA87" s="119">
        <f t="shared" si="17"/>
        <v>16956.805777336773</v>
      </c>
      <c r="AB87" s="119">
        <f t="shared" si="17"/>
        <v>0</v>
      </c>
      <c r="AC87" s="119">
        <f t="shared" si="17"/>
        <v>0</v>
      </c>
      <c r="AD87" s="119">
        <f t="shared" si="17"/>
        <v>0</v>
      </c>
      <c r="AE87" s="119">
        <f t="shared" si="17"/>
        <v>0</v>
      </c>
      <c r="AF87" s="119">
        <f t="shared" si="17"/>
        <v>0</v>
      </c>
      <c r="AG87" s="119">
        <f t="shared" si="17"/>
        <v>0</v>
      </c>
      <c r="AH87" s="119">
        <f t="shared" si="17"/>
        <v>0</v>
      </c>
      <c r="AI87" s="119">
        <f t="shared" si="17"/>
        <v>0</v>
      </c>
      <c r="AJ87" s="119">
        <f t="shared" si="17"/>
        <v>0</v>
      </c>
      <c r="AK87" s="119">
        <f t="shared" si="17"/>
        <v>0</v>
      </c>
      <c r="AL87" s="119">
        <f t="shared" si="17"/>
        <v>0</v>
      </c>
      <c r="AM87" s="119">
        <f t="shared" si="17"/>
        <v>0</v>
      </c>
      <c r="AN87" s="119">
        <f t="shared" si="17"/>
        <v>0</v>
      </c>
      <c r="AO87" s="119">
        <f t="shared" si="17"/>
        <v>0</v>
      </c>
      <c r="AP87" s="119">
        <f t="shared" si="17"/>
        <v>0</v>
      </c>
    </row>
    <row r="88" spans="1:42" x14ac:dyDescent="0.2">
      <c r="A88" s="205" t="s">
        <v>13</v>
      </c>
      <c r="B88" s="137">
        <f>SUM(B86:B87)</f>
        <v>0</v>
      </c>
      <c r="C88" s="137">
        <f t="shared" ref="C88:AP88" si="18">SUM(C86:C87)</f>
        <v>4985675</v>
      </c>
      <c r="D88" s="137">
        <f t="shared" si="18"/>
        <v>4962144.1568414485</v>
      </c>
      <c r="E88" s="137">
        <f t="shared" si="18"/>
        <v>4937081.6730578961</v>
      </c>
      <c r="F88" s="137">
        <f t="shared" si="18"/>
        <v>4910468.2576337196</v>
      </c>
      <c r="G88" s="137">
        <f t="shared" si="18"/>
        <v>4882243.7172779022</v>
      </c>
      <c r="H88" s="137">
        <f t="shared" si="18"/>
        <v>4852376.9354671538</v>
      </c>
      <c r="I88" s="137">
        <f t="shared" si="18"/>
        <v>4820835.8509970987</v>
      </c>
      <c r="J88" s="137">
        <f t="shared" si="18"/>
        <v>4787567.4360298971</v>
      </c>
      <c r="K88" s="137">
        <f t="shared" si="18"/>
        <v>4752527.6736263325</v>
      </c>
      <c r="L88" s="137">
        <f t="shared" si="18"/>
        <v>4715681.5347501719</v>
      </c>
      <c r="M88" s="137">
        <f t="shared" si="18"/>
        <v>4676982.9547322709</v>
      </c>
      <c r="N88" s="137">
        <f t="shared" si="18"/>
        <v>4636374.8091816129</v>
      </c>
      <c r="O88" s="137">
        <f t="shared" si="18"/>
        <v>4593818.8893301487</v>
      </c>
      <c r="P88" s="137">
        <f t="shared" si="18"/>
        <v>4549265.8767980421</v>
      </c>
      <c r="Q88" s="137">
        <f t="shared" si="18"/>
        <v>4502655.3177655078</v>
      </c>
      <c r="R88" s="137">
        <f t="shared" si="18"/>
        <v>4277343.8689154964</v>
      </c>
      <c r="S88" s="137">
        <f t="shared" si="18"/>
        <v>4214717.3990216246</v>
      </c>
      <c r="T88" s="137">
        <f t="shared" si="18"/>
        <v>4149894.9410480703</v>
      </c>
      <c r="U88" s="137">
        <f t="shared" si="18"/>
        <v>4082811.2287661964</v>
      </c>
      <c r="V88" s="137">
        <f t="shared" si="18"/>
        <v>4013419.7219611141</v>
      </c>
      <c r="W88" s="137">
        <f t="shared" si="18"/>
        <v>3941652.5767354211</v>
      </c>
      <c r="X88" s="137">
        <f t="shared" si="18"/>
        <v>3867460.6151135904</v>
      </c>
      <c r="Y88" s="137">
        <f t="shared" si="18"/>
        <v>3790783.2939304095</v>
      </c>
      <c r="Z88" s="137">
        <f t="shared" si="18"/>
        <v>3711568.6729864283</v>
      </c>
      <c r="AA88" s="137">
        <f t="shared" si="18"/>
        <v>3629733.3824530034</v>
      </c>
      <c r="AB88" s="137">
        <f t="shared" si="18"/>
        <v>0</v>
      </c>
      <c r="AC88" s="137">
        <f t="shared" si="18"/>
        <v>0</v>
      </c>
      <c r="AD88" s="137">
        <f t="shared" si="18"/>
        <v>0</v>
      </c>
      <c r="AE88" s="137">
        <f t="shared" si="18"/>
        <v>0</v>
      </c>
      <c r="AF88" s="137">
        <f t="shared" si="18"/>
        <v>0</v>
      </c>
      <c r="AG88" s="137">
        <f t="shared" si="18"/>
        <v>0</v>
      </c>
      <c r="AH88" s="137">
        <f t="shared" si="18"/>
        <v>0</v>
      </c>
      <c r="AI88" s="137">
        <f t="shared" si="18"/>
        <v>0</v>
      </c>
      <c r="AJ88" s="137">
        <f t="shared" si="18"/>
        <v>0</v>
      </c>
      <c r="AK88" s="137">
        <f t="shared" si="18"/>
        <v>0</v>
      </c>
      <c r="AL88" s="137">
        <f t="shared" si="18"/>
        <v>0</v>
      </c>
      <c r="AM88" s="137">
        <f t="shared" si="18"/>
        <v>0</v>
      </c>
      <c r="AN88" s="137">
        <f t="shared" si="18"/>
        <v>0</v>
      </c>
      <c r="AO88" s="137">
        <f t="shared" si="18"/>
        <v>0</v>
      </c>
      <c r="AP88" s="137">
        <f t="shared" si="18"/>
        <v>0</v>
      </c>
    </row>
    <row r="89" spans="1:42" x14ac:dyDescent="0.2">
      <c r="A89" s="18"/>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row>
    <row r="90" spans="1:42" x14ac:dyDescent="0.2">
      <c r="A90" s="20" t="s">
        <v>57</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row>
    <row r="91" spans="1:42" x14ac:dyDescent="0.2">
      <c r="A91" s="18" t="s">
        <v>344</v>
      </c>
      <c r="B91" s="119">
        <f>B76</f>
        <v>111989777.5</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row>
    <row r="92" spans="1:42" x14ac:dyDescent="0.2">
      <c r="A92" s="18" t="s">
        <v>343</v>
      </c>
      <c r="B92" s="119">
        <f>B68</f>
        <v>-108794837.5</v>
      </c>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19"/>
      <c r="AP92" s="119"/>
    </row>
    <row r="93" spans="1:42" x14ac:dyDescent="0.2">
      <c r="A93" s="18" t="s">
        <v>309</v>
      </c>
      <c r="B93" s="119">
        <f>-Inputs!C62</f>
        <v>-3194940</v>
      </c>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row>
    <row r="94" spans="1:42" x14ac:dyDescent="0.2">
      <c r="A94" s="18" t="s">
        <v>249</v>
      </c>
      <c r="B94" s="119">
        <f t="shared" ref="B94:AP94" si="19">-B23</f>
        <v>0</v>
      </c>
      <c r="C94" s="119">
        <f t="shared" si="19"/>
        <v>0</v>
      </c>
      <c r="D94" s="119">
        <f t="shared" si="19"/>
        <v>0</v>
      </c>
      <c r="E94" s="119">
        <f t="shared" si="19"/>
        <v>0</v>
      </c>
      <c r="F94" s="119">
        <f t="shared" si="19"/>
        <v>0</v>
      </c>
      <c r="G94" s="119">
        <f t="shared" si="19"/>
        <v>0</v>
      </c>
      <c r="H94" s="119">
        <f t="shared" si="19"/>
        <v>0</v>
      </c>
      <c r="I94" s="119">
        <f t="shared" si="19"/>
        <v>0</v>
      </c>
      <c r="J94" s="119">
        <f t="shared" si="19"/>
        <v>0</v>
      </c>
      <c r="K94" s="119">
        <f t="shared" si="19"/>
        <v>0</v>
      </c>
      <c r="L94" s="119">
        <f t="shared" si="19"/>
        <v>0</v>
      </c>
      <c r="M94" s="119">
        <f t="shared" si="19"/>
        <v>0</v>
      </c>
      <c r="N94" s="119">
        <f t="shared" si="19"/>
        <v>0</v>
      </c>
      <c r="O94" s="119">
        <f t="shared" si="19"/>
        <v>0</v>
      </c>
      <c r="P94" s="119">
        <f t="shared" si="19"/>
        <v>0</v>
      </c>
      <c r="Q94" s="119">
        <f t="shared" si="19"/>
        <v>0</v>
      </c>
      <c r="R94" s="119">
        <f t="shared" si="19"/>
        <v>0</v>
      </c>
      <c r="S94" s="119">
        <f t="shared" si="19"/>
        <v>0</v>
      </c>
      <c r="T94" s="119">
        <f t="shared" si="19"/>
        <v>0</v>
      </c>
      <c r="U94" s="119">
        <f t="shared" si="19"/>
        <v>0</v>
      </c>
      <c r="V94" s="119">
        <f t="shared" si="19"/>
        <v>0</v>
      </c>
      <c r="W94" s="119">
        <f t="shared" si="19"/>
        <v>0</v>
      </c>
      <c r="X94" s="119">
        <f t="shared" si="19"/>
        <v>0</v>
      </c>
      <c r="Y94" s="119">
        <f t="shared" si="19"/>
        <v>0</v>
      </c>
      <c r="Z94" s="119">
        <f t="shared" si="19"/>
        <v>0</v>
      </c>
      <c r="AA94" s="119">
        <f t="shared" si="19"/>
        <v>0</v>
      </c>
      <c r="AB94" s="119">
        <f t="shared" si="19"/>
        <v>0</v>
      </c>
      <c r="AC94" s="119">
        <f t="shared" si="19"/>
        <v>0</v>
      </c>
      <c r="AD94" s="119">
        <f t="shared" si="19"/>
        <v>0</v>
      </c>
      <c r="AE94" s="119">
        <f t="shared" si="19"/>
        <v>0</v>
      </c>
      <c r="AF94" s="119">
        <f t="shared" si="19"/>
        <v>0</v>
      </c>
      <c r="AG94" s="119">
        <f t="shared" si="19"/>
        <v>0</v>
      </c>
      <c r="AH94" s="119">
        <f t="shared" si="19"/>
        <v>0</v>
      </c>
      <c r="AI94" s="119">
        <f t="shared" si="19"/>
        <v>0</v>
      </c>
      <c r="AJ94" s="119">
        <f t="shared" si="19"/>
        <v>0</v>
      </c>
      <c r="AK94" s="119">
        <f t="shared" si="19"/>
        <v>0</v>
      </c>
      <c r="AL94" s="119">
        <f t="shared" si="19"/>
        <v>0</v>
      </c>
      <c r="AM94" s="119">
        <f t="shared" si="19"/>
        <v>0</v>
      </c>
      <c r="AN94" s="119">
        <f t="shared" si="19"/>
        <v>0</v>
      </c>
      <c r="AO94" s="119">
        <f t="shared" si="19"/>
        <v>0</v>
      </c>
      <c r="AP94" s="119">
        <f t="shared" si="19"/>
        <v>0</v>
      </c>
    </row>
    <row r="95" spans="1:42" x14ac:dyDescent="0.2">
      <c r="A95" s="18" t="s">
        <v>328</v>
      </c>
      <c r="B95" s="119"/>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row>
    <row r="96" spans="1:42" x14ac:dyDescent="0.2">
      <c r="A96" s="22" t="s">
        <v>223</v>
      </c>
      <c r="B96" s="119">
        <f t="shared" ref="B96:AP96" si="20">-B656-B657</f>
        <v>-750000</v>
      </c>
      <c r="C96" s="119">
        <f t="shared" si="20"/>
        <v>-18750</v>
      </c>
      <c r="D96" s="119">
        <f t="shared" si="20"/>
        <v>-19218.75</v>
      </c>
      <c r="E96" s="119">
        <f t="shared" si="20"/>
        <v>-19699.21875</v>
      </c>
      <c r="F96" s="119">
        <f t="shared" si="20"/>
        <v>-20191.699218749767</v>
      </c>
      <c r="G96" s="119">
        <f t="shared" si="20"/>
        <v>-20696.491699218517</v>
      </c>
      <c r="H96" s="119">
        <f t="shared" si="20"/>
        <v>-21213.903991699452</v>
      </c>
      <c r="I96" s="119">
        <f t="shared" si="20"/>
        <v>-21744.251591491746</v>
      </c>
      <c r="J96" s="119">
        <f t="shared" si="20"/>
        <v>-22287.857881278731</v>
      </c>
      <c r="K96" s="119">
        <f t="shared" si="20"/>
        <v>-22845.054328311002</v>
      </c>
      <c r="L96" s="119">
        <f t="shared" si="20"/>
        <v>-23416.180686518783</v>
      </c>
      <c r="M96" s="119">
        <f t="shared" si="20"/>
        <v>-24001.585203681374</v>
      </c>
      <c r="N96" s="119">
        <f t="shared" si="20"/>
        <v>-24601.624833773822</v>
      </c>
      <c r="O96" s="119">
        <f t="shared" si="20"/>
        <v>-25216.665454617934</v>
      </c>
      <c r="P96" s="119">
        <f t="shared" si="20"/>
        <v>-25847.0820909834</v>
      </c>
      <c r="Q96" s="119">
        <f t="shared" si="20"/>
        <v>-26493.259143258212</v>
      </c>
      <c r="R96" s="119">
        <f t="shared" si="20"/>
        <v>-27155.59062183951</v>
      </c>
      <c r="S96" s="119">
        <f t="shared" si="20"/>
        <v>-27834.480387385702</v>
      </c>
      <c r="T96" s="119">
        <f t="shared" si="20"/>
        <v>-28530.342397070257</v>
      </c>
      <c r="U96" s="119">
        <f t="shared" si="20"/>
        <v>-29243.600956996903</v>
      </c>
      <c r="V96" s="119">
        <f t="shared" si="20"/>
        <v>-29974.690980921499</v>
      </c>
      <c r="W96" s="119">
        <f t="shared" si="20"/>
        <v>-30724.058255444746</v>
      </c>
      <c r="X96" s="119">
        <f t="shared" si="20"/>
        <v>-31492.159711831016</v>
      </c>
      <c r="Y96" s="119">
        <f t="shared" si="20"/>
        <v>-32279.463704627007</v>
      </c>
      <c r="Z96" s="119">
        <f t="shared" si="20"/>
        <v>-33086.450297242263</v>
      </c>
      <c r="AA96" s="119">
        <f t="shared" si="20"/>
        <v>1356544.4621869416</v>
      </c>
      <c r="AB96" s="119">
        <f t="shared" si="20"/>
        <v>0</v>
      </c>
      <c r="AC96" s="119">
        <f t="shared" si="20"/>
        <v>0</v>
      </c>
      <c r="AD96" s="119">
        <f t="shared" si="20"/>
        <v>0</v>
      </c>
      <c r="AE96" s="119">
        <f t="shared" si="20"/>
        <v>0</v>
      </c>
      <c r="AF96" s="119">
        <f t="shared" si="20"/>
        <v>0</v>
      </c>
      <c r="AG96" s="119">
        <f t="shared" si="20"/>
        <v>0</v>
      </c>
      <c r="AH96" s="119">
        <f t="shared" si="20"/>
        <v>0</v>
      </c>
      <c r="AI96" s="119">
        <f t="shared" si="20"/>
        <v>0</v>
      </c>
      <c r="AJ96" s="119">
        <f t="shared" si="20"/>
        <v>0</v>
      </c>
      <c r="AK96" s="119">
        <f t="shared" si="20"/>
        <v>0</v>
      </c>
      <c r="AL96" s="119">
        <f t="shared" si="20"/>
        <v>0</v>
      </c>
      <c r="AM96" s="119">
        <f t="shared" si="20"/>
        <v>0</v>
      </c>
      <c r="AN96" s="119">
        <f t="shared" si="20"/>
        <v>0</v>
      </c>
      <c r="AO96" s="119">
        <f t="shared" si="20"/>
        <v>0</v>
      </c>
      <c r="AP96" s="119">
        <f t="shared" si="20"/>
        <v>0</v>
      </c>
    </row>
    <row r="97" spans="1:42" x14ac:dyDescent="0.2">
      <c r="A97" s="22" t="s">
        <v>270</v>
      </c>
      <c r="B97" s="119">
        <f>-B662-B663</f>
        <v>-2012471.2263420781</v>
      </c>
      <c r="C97" s="119">
        <f t="shared" ref="C97:AP97" si="21">-C662-C663</f>
        <v>0</v>
      </c>
      <c r="D97" s="119">
        <f t="shared" si="21"/>
        <v>0</v>
      </c>
      <c r="E97" s="119">
        <f t="shared" si="21"/>
        <v>0</v>
      </c>
      <c r="F97" s="119">
        <f t="shared" si="21"/>
        <v>0</v>
      </c>
      <c r="G97" s="119">
        <f t="shared" si="21"/>
        <v>0</v>
      </c>
      <c r="H97" s="119">
        <f t="shared" si="21"/>
        <v>0</v>
      </c>
      <c r="I97" s="119">
        <f t="shared" si="21"/>
        <v>0</v>
      </c>
      <c r="J97" s="119">
        <f t="shared" si="21"/>
        <v>0</v>
      </c>
      <c r="K97" s="119">
        <f t="shared" si="21"/>
        <v>0</v>
      </c>
      <c r="L97" s="119">
        <f t="shared" si="21"/>
        <v>0</v>
      </c>
      <c r="M97" s="119">
        <f t="shared" si="21"/>
        <v>0</v>
      </c>
      <c r="N97" s="119">
        <f t="shared" si="21"/>
        <v>0</v>
      </c>
      <c r="O97" s="119">
        <f t="shared" si="21"/>
        <v>0</v>
      </c>
      <c r="P97" s="119">
        <f t="shared" si="21"/>
        <v>0</v>
      </c>
      <c r="Q97" s="119">
        <f t="shared" si="21"/>
        <v>0</v>
      </c>
      <c r="R97" s="119">
        <f t="shared" si="21"/>
        <v>0</v>
      </c>
      <c r="S97" s="119">
        <f t="shared" si="21"/>
        <v>0</v>
      </c>
      <c r="T97" s="119">
        <f t="shared" si="21"/>
        <v>0</v>
      </c>
      <c r="U97" s="119">
        <f t="shared" si="21"/>
        <v>0</v>
      </c>
      <c r="V97" s="119">
        <f t="shared" si="21"/>
        <v>0</v>
      </c>
      <c r="W97" s="119">
        <f t="shared" si="21"/>
        <v>0</v>
      </c>
      <c r="X97" s="119">
        <f t="shared" si="21"/>
        <v>0</v>
      </c>
      <c r="Y97" s="119">
        <f t="shared" si="21"/>
        <v>0</v>
      </c>
      <c r="Z97" s="119">
        <f t="shared" si="21"/>
        <v>0</v>
      </c>
      <c r="AA97" s="119">
        <f t="shared" si="21"/>
        <v>2012471.2263420781</v>
      </c>
      <c r="AB97" s="119">
        <f t="shared" si="21"/>
        <v>0</v>
      </c>
      <c r="AC97" s="119">
        <f t="shared" si="21"/>
        <v>0</v>
      </c>
      <c r="AD97" s="119">
        <f t="shared" si="21"/>
        <v>0</v>
      </c>
      <c r="AE97" s="119">
        <f t="shared" si="21"/>
        <v>0</v>
      </c>
      <c r="AF97" s="119">
        <f t="shared" si="21"/>
        <v>0</v>
      </c>
      <c r="AG97" s="119">
        <f t="shared" si="21"/>
        <v>0</v>
      </c>
      <c r="AH97" s="119">
        <f t="shared" si="21"/>
        <v>0</v>
      </c>
      <c r="AI97" s="119">
        <f t="shared" si="21"/>
        <v>0</v>
      </c>
      <c r="AJ97" s="119">
        <f t="shared" si="21"/>
        <v>0</v>
      </c>
      <c r="AK97" s="119">
        <f t="shared" si="21"/>
        <v>0</v>
      </c>
      <c r="AL97" s="119">
        <f t="shared" si="21"/>
        <v>0</v>
      </c>
      <c r="AM97" s="119">
        <f t="shared" si="21"/>
        <v>0</v>
      </c>
      <c r="AN97" s="119">
        <f t="shared" si="21"/>
        <v>0</v>
      </c>
      <c r="AO97" s="119">
        <f t="shared" si="21"/>
        <v>0</v>
      </c>
      <c r="AP97" s="119">
        <f t="shared" si="21"/>
        <v>0</v>
      </c>
    </row>
    <row r="98" spans="1:42" x14ac:dyDescent="0.2">
      <c r="A98" s="22" t="s">
        <v>233</v>
      </c>
      <c r="B98" s="119">
        <f>-B674-B675</f>
        <v>0</v>
      </c>
      <c r="C98" s="119">
        <f t="shared" ref="C98:AP98" si="22">-C674-C675</f>
        <v>-941982.54731584399</v>
      </c>
      <c r="D98" s="119">
        <f t="shared" si="22"/>
        <v>-941982.54731584399</v>
      </c>
      <c r="E98" s="119">
        <f t="shared" si="22"/>
        <v>-941982.54731584399</v>
      </c>
      <c r="F98" s="119">
        <f t="shared" si="22"/>
        <v>-941982.54731584399</v>
      </c>
      <c r="G98" s="119">
        <f t="shared" si="22"/>
        <v>-941982.54731584399</v>
      </c>
      <c r="H98" s="119">
        <f t="shared" si="22"/>
        <v>-941982.54731584399</v>
      </c>
      <c r="I98" s="119">
        <f t="shared" si="22"/>
        <v>-941982.54731584399</v>
      </c>
      <c r="J98" s="119">
        <f t="shared" si="22"/>
        <v>-941982.54731584399</v>
      </c>
      <c r="K98" s="119">
        <f t="shared" si="22"/>
        <v>-941982.54731584399</v>
      </c>
      <c r="L98" s="119">
        <f t="shared" si="22"/>
        <v>-941982.54731584399</v>
      </c>
      <c r="M98" s="119">
        <f t="shared" si="22"/>
        <v>-941982.54731584399</v>
      </c>
      <c r="N98" s="119">
        <f t="shared" si="22"/>
        <v>-941982.54731584399</v>
      </c>
      <c r="O98" s="119">
        <f t="shared" si="22"/>
        <v>-941982.54731584399</v>
      </c>
      <c r="P98" s="119">
        <f t="shared" si="22"/>
        <v>-941982.54731584399</v>
      </c>
      <c r="Q98" s="119">
        <f t="shared" si="22"/>
        <v>13187755.662421817</v>
      </c>
      <c r="R98" s="119">
        <f t="shared" si="22"/>
        <v>0</v>
      </c>
      <c r="S98" s="119">
        <f t="shared" si="22"/>
        <v>0</v>
      </c>
      <c r="T98" s="119">
        <f t="shared" si="22"/>
        <v>0</v>
      </c>
      <c r="U98" s="119">
        <f t="shared" si="22"/>
        <v>0</v>
      </c>
      <c r="V98" s="119">
        <f t="shared" si="22"/>
        <v>0</v>
      </c>
      <c r="W98" s="119">
        <f t="shared" si="22"/>
        <v>0</v>
      </c>
      <c r="X98" s="119">
        <f t="shared" si="22"/>
        <v>0</v>
      </c>
      <c r="Y98" s="119">
        <f t="shared" si="22"/>
        <v>0</v>
      </c>
      <c r="Z98" s="119">
        <f t="shared" si="22"/>
        <v>0</v>
      </c>
      <c r="AA98" s="119">
        <f t="shared" si="22"/>
        <v>0</v>
      </c>
      <c r="AB98" s="119">
        <f t="shared" si="22"/>
        <v>0</v>
      </c>
      <c r="AC98" s="119">
        <f t="shared" si="22"/>
        <v>0</v>
      </c>
      <c r="AD98" s="119">
        <f t="shared" si="22"/>
        <v>0</v>
      </c>
      <c r="AE98" s="119">
        <f t="shared" si="22"/>
        <v>0</v>
      </c>
      <c r="AF98" s="119">
        <f t="shared" si="22"/>
        <v>0</v>
      </c>
      <c r="AG98" s="119">
        <f t="shared" si="22"/>
        <v>0</v>
      </c>
      <c r="AH98" s="119">
        <f t="shared" si="22"/>
        <v>0</v>
      </c>
      <c r="AI98" s="119">
        <f t="shared" si="22"/>
        <v>0</v>
      </c>
      <c r="AJ98" s="119">
        <f t="shared" si="22"/>
        <v>0</v>
      </c>
      <c r="AK98" s="119">
        <f t="shared" si="22"/>
        <v>0</v>
      </c>
      <c r="AL98" s="119">
        <f t="shared" si="22"/>
        <v>0</v>
      </c>
      <c r="AM98" s="119">
        <f t="shared" si="22"/>
        <v>0</v>
      </c>
      <c r="AN98" s="119">
        <f t="shared" si="22"/>
        <v>0</v>
      </c>
      <c r="AO98" s="119">
        <f t="shared" si="22"/>
        <v>0</v>
      </c>
      <c r="AP98" s="119">
        <f t="shared" si="22"/>
        <v>0</v>
      </c>
    </row>
    <row r="99" spans="1:42" x14ac:dyDescent="0.2">
      <c r="A99" s="22" t="s">
        <v>234</v>
      </c>
      <c r="B99" s="119">
        <f>-B706-B707</f>
        <v>0</v>
      </c>
      <c r="C99" s="119">
        <f t="shared" ref="C99:AP99" si="23">-C706-C707</f>
        <v>0</v>
      </c>
      <c r="D99" s="119">
        <f t="shared" si="23"/>
        <v>0</v>
      </c>
      <c r="E99" s="119">
        <f t="shared" si="23"/>
        <v>0</v>
      </c>
      <c r="F99" s="119">
        <f t="shared" si="23"/>
        <v>0</v>
      </c>
      <c r="G99" s="119">
        <f t="shared" si="23"/>
        <v>0</v>
      </c>
      <c r="H99" s="119">
        <f t="shared" si="23"/>
        <v>0</v>
      </c>
      <c r="I99" s="119">
        <f t="shared" si="23"/>
        <v>0</v>
      </c>
      <c r="J99" s="119">
        <f t="shared" si="23"/>
        <v>0</v>
      </c>
      <c r="K99" s="119">
        <f t="shared" si="23"/>
        <v>0</v>
      </c>
      <c r="L99" s="119">
        <f t="shared" si="23"/>
        <v>0</v>
      </c>
      <c r="M99" s="119">
        <f t="shared" si="23"/>
        <v>0</v>
      </c>
      <c r="N99" s="119">
        <f t="shared" si="23"/>
        <v>0</v>
      </c>
      <c r="O99" s="119">
        <f t="shared" si="23"/>
        <v>0</v>
      </c>
      <c r="P99" s="119">
        <f t="shared" si="23"/>
        <v>0</v>
      </c>
      <c r="Q99" s="119">
        <f t="shared" si="23"/>
        <v>0</v>
      </c>
      <c r="R99" s="119">
        <f t="shared" si="23"/>
        <v>0</v>
      </c>
      <c r="S99" s="119">
        <f t="shared" si="23"/>
        <v>0</v>
      </c>
      <c r="T99" s="119">
        <f t="shared" si="23"/>
        <v>0</v>
      </c>
      <c r="U99" s="119">
        <f t="shared" si="23"/>
        <v>0</v>
      </c>
      <c r="V99" s="119">
        <f t="shared" si="23"/>
        <v>0</v>
      </c>
      <c r="W99" s="119">
        <f t="shared" si="23"/>
        <v>0</v>
      </c>
      <c r="X99" s="119">
        <f t="shared" si="23"/>
        <v>0</v>
      </c>
      <c r="Y99" s="119">
        <f t="shared" si="23"/>
        <v>0</v>
      </c>
      <c r="Z99" s="119">
        <f t="shared" si="23"/>
        <v>0</v>
      </c>
      <c r="AA99" s="119">
        <f t="shared" si="23"/>
        <v>0</v>
      </c>
      <c r="AB99" s="119">
        <f t="shared" si="23"/>
        <v>0</v>
      </c>
      <c r="AC99" s="119">
        <f t="shared" si="23"/>
        <v>0</v>
      </c>
      <c r="AD99" s="119">
        <f t="shared" si="23"/>
        <v>0</v>
      </c>
      <c r="AE99" s="119">
        <f t="shared" si="23"/>
        <v>0</v>
      </c>
      <c r="AF99" s="119">
        <f t="shared" si="23"/>
        <v>0</v>
      </c>
      <c r="AG99" s="119">
        <f t="shared" si="23"/>
        <v>0</v>
      </c>
      <c r="AH99" s="119">
        <f t="shared" si="23"/>
        <v>0</v>
      </c>
      <c r="AI99" s="119">
        <f t="shared" si="23"/>
        <v>0</v>
      </c>
      <c r="AJ99" s="119">
        <f t="shared" si="23"/>
        <v>0</v>
      </c>
      <c r="AK99" s="119">
        <f t="shared" si="23"/>
        <v>0</v>
      </c>
      <c r="AL99" s="119">
        <f t="shared" si="23"/>
        <v>0</v>
      </c>
      <c r="AM99" s="119">
        <f t="shared" si="23"/>
        <v>0</v>
      </c>
      <c r="AN99" s="119">
        <f t="shared" si="23"/>
        <v>0</v>
      </c>
      <c r="AO99" s="119">
        <f t="shared" si="23"/>
        <v>0</v>
      </c>
      <c r="AP99" s="119">
        <f t="shared" si="23"/>
        <v>0</v>
      </c>
    </row>
    <row r="100" spans="1:42" x14ac:dyDescent="0.2">
      <c r="A100" s="22" t="s">
        <v>235</v>
      </c>
      <c r="B100" s="119">
        <f>-B738-B739</f>
        <v>0</v>
      </c>
      <c r="C100" s="119">
        <f t="shared" ref="C100:AP100" si="24">-C738-C739</f>
        <v>0</v>
      </c>
      <c r="D100" s="119">
        <f t="shared" si="24"/>
        <v>0</v>
      </c>
      <c r="E100" s="119">
        <f t="shared" si="24"/>
        <v>0</v>
      </c>
      <c r="F100" s="119">
        <f t="shared" si="24"/>
        <v>0</v>
      </c>
      <c r="G100" s="119">
        <f t="shared" si="24"/>
        <v>0</v>
      </c>
      <c r="H100" s="119">
        <f t="shared" si="24"/>
        <v>0</v>
      </c>
      <c r="I100" s="119">
        <f t="shared" si="24"/>
        <v>0</v>
      </c>
      <c r="J100" s="119">
        <f t="shared" si="24"/>
        <v>0</v>
      </c>
      <c r="K100" s="119">
        <f t="shared" si="24"/>
        <v>0</v>
      </c>
      <c r="L100" s="119">
        <f t="shared" si="24"/>
        <v>0</v>
      </c>
      <c r="M100" s="119">
        <f t="shared" si="24"/>
        <v>0</v>
      </c>
      <c r="N100" s="119">
        <f t="shared" si="24"/>
        <v>0</v>
      </c>
      <c r="O100" s="119">
        <f t="shared" si="24"/>
        <v>0</v>
      </c>
      <c r="P100" s="119">
        <f t="shared" si="24"/>
        <v>0</v>
      </c>
      <c r="Q100" s="119">
        <f t="shared" si="24"/>
        <v>0</v>
      </c>
      <c r="R100" s="119">
        <f t="shared" si="24"/>
        <v>0</v>
      </c>
      <c r="S100" s="119">
        <f t="shared" si="24"/>
        <v>0</v>
      </c>
      <c r="T100" s="119">
        <f t="shared" si="24"/>
        <v>0</v>
      </c>
      <c r="U100" s="119">
        <f t="shared" si="24"/>
        <v>0</v>
      </c>
      <c r="V100" s="119">
        <f t="shared" si="24"/>
        <v>0</v>
      </c>
      <c r="W100" s="119">
        <f t="shared" si="24"/>
        <v>0</v>
      </c>
      <c r="X100" s="119">
        <f t="shared" si="24"/>
        <v>0</v>
      </c>
      <c r="Y100" s="119">
        <f t="shared" si="24"/>
        <v>0</v>
      </c>
      <c r="Z100" s="119">
        <f t="shared" si="24"/>
        <v>0</v>
      </c>
      <c r="AA100" s="119">
        <f t="shared" si="24"/>
        <v>0</v>
      </c>
      <c r="AB100" s="119">
        <f t="shared" si="24"/>
        <v>0</v>
      </c>
      <c r="AC100" s="119">
        <f t="shared" si="24"/>
        <v>0</v>
      </c>
      <c r="AD100" s="119">
        <f t="shared" si="24"/>
        <v>0</v>
      </c>
      <c r="AE100" s="119">
        <f t="shared" si="24"/>
        <v>0</v>
      </c>
      <c r="AF100" s="119">
        <f t="shared" si="24"/>
        <v>0</v>
      </c>
      <c r="AG100" s="119">
        <f t="shared" si="24"/>
        <v>0</v>
      </c>
      <c r="AH100" s="119">
        <f t="shared" si="24"/>
        <v>0</v>
      </c>
      <c r="AI100" s="119">
        <f t="shared" si="24"/>
        <v>0</v>
      </c>
      <c r="AJ100" s="119">
        <f t="shared" si="24"/>
        <v>0</v>
      </c>
      <c r="AK100" s="119">
        <f t="shared" si="24"/>
        <v>0</v>
      </c>
      <c r="AL100" s="119">
        <f t="shared" si="24"/>
        <v>0</v>
      </c>
      <c r="AM100" s="119">
        <f t="shared" si="24"/>
        <v>0</v>
      </c>
      <c r="AN100" s="119">
        <f t="shared" si="24"/>
        <v>0</v>
      </c>
      <c r="AO100" s="119">
        <f t="shared" si="24"/>
        <v>0</v>
      </c>
      <c r="AP100" s="119">
        <f t="shared" si="24"/>
        <v>0</v>
      </c>
    </row>
    <row r="101" spans="1:42" x14ac:dyDescent="0.2">
      <c r="A101" s="22" t="s">
        <v>232</v>
      </c>
      <c r="B101" s="120">
        <f t="shared" ref="B101:AP101" si="25">-B668-B669</f>
        <v>0</v>
      </c>
      <c r="C101" s="120">
        <f t="shared" si="25"/>
        <v>0</v>
      </c>
      <c r="D101" s="120">
        <f t="shared" si="25"/>
        <v>0</v>
      </c>
      <c r="E101" s="120">
        <f t="shared" si="25"/>
        <v>0</v>
      </c>
      <c r="F101" s="120">
        <f t="shared" si="25"/>
        <v>0</v>
      </c>
      <c r="G101" s="120">
        <f t="shared" si="25"/>
        <v>0</v>
      </c>
      <c r="H101" s="120">
        <f t="shared" si="25"/>
        <v>0</v>
      </c>
      <c r="I101" s="120">
        <f t="shared" si="25"/>
        <v>0</v>
      </c>
      <c r="J101" s="120">
        <f t="shared" si="25"/>
        <v>0</v>
      </c>
      <c r="K101" s="120">
        <f t="shared" si="25"/>
        <v>0</v>
      </c>
      <c r="L101" s="120">
        <f t="shared" si="25"/>
        <v>0</v>
      </c>
      <c r="M101" s="120">
        <f t="shared" si="25"/>
        <v>0</v>
      </c>
      <c r="N101" s="120">
        <f t="shared" si="25"/>
        <v>0</v>
      </c>
      <c r="O101" s="120">
        <f t="shared" si="25"/>
        <v>0</v>
      </c>
      <c r="P101" s="120">
        <f t="shared" si="25"/>
        <v>0</v>
      </c>
      <c r="Q101" s="120">
        <f t="shared" si="25"/>
        <v>0</v>
      </c>
      <c r="R101" s="120">
        <f t="shared" si="25"/>
        <v>0</v>
      </c>
      <c r="S101" s="120">
        <f t="shared" si="25"/>
        <v>0</v>
      </c>
      <c r="T101" s="120">
        <f t="shared" si="25"/>
        <v>0</v>
      </c>
      <c r="U101" s="120">
        <f t="shared" si="25"/>
        <v>0</v>
      </c>
      <c r="V101" s="120">
        <f t="shared" si="25"/>
        <v>0</v>
      </c>
      <c r="W101" s="120">
        <f t="shared" si="25"/>
        <v>0</v>
      </c>
      <c r="X101" s="120">
        <f t="shared" si="25"/>
        <v>0</v>
      </c>
      <c r="Y101" s="120">
        <f t="shared" si="25"/>
        <v>0</v>
      </c>
      <c r="Z101" s="120">
        <f t="shared" si="25"/>
        <v>0</v>
      </c>
      <c r="AA101" s="120">
        <f t="shared" si="25"/>
        <v>0</v>
      </c>
      <c r="AB101" s="120">
        <f t="shared" si="25"/>
        <v>0</v>
      </c>
      <c r="AC101" s="120">
        <f t="shared" si="25"/>
        <v>0</v>
      </c>
      <c r="AD101" s="120">
        <f t="shared" si="25"/>
        <v>0</v>
      </c>
      <c r="AE101" s="120">
        <f t="shared" si="25"/>
        <v>0</v>
      </c>
      <c r="AF101" s="120">
        <f t="shared" si="25"/>
        <v>0</v>
      </c>
      <c r="AG101" s="120">
        <f t="shared" si="25"/>
        <v>0</v>
      </c>
      <c r="AH101" s="120">
        <f t="shared" si="25"/>
        <v>0</v>
      </c>
      <c r="AI101" s="120">
        <f t="shared" si="25"/>
        <v>0</v>
      </c>
      <c r="AJ101" s="120">
        <f t="shared" si="25"/>
        <v>0</v>
      </c>
      <c r="AK101" s="120">
        <f t="shared" si="25"/>
        <v>0</v>
      </c>
      <c r="AL101" s="120">
        <f t="shared" si="25"/>
        <v>0</v>
      </c>
      <c r="AM101" s="120">
        <f t="shared" si="25"/>
        <v>0</v>
      </c>
      <c r="AN101" s="120">
        <f t="shared" si="25"/>
        <v>0</v>
      </c>
      <c r="AO101" s="120">
        <f t="shared" si="25"/>
        <v>0</v>
      </c>
      <c r="AP101" s="120">
        <f t="shared" si="25"/>
        <v>0</v>
      </c>
    </row>
    <row r="102" spans="1:42" x14ac:dyDescent="0.2">
      <c r="A102" s="22" t="s">
        <v>327</v>
      </c>
      <c r="B102" s="119">
        <f>SUM(B96:B101)</f>
        <v>-2762471.2263420783</v>
      </c>
      <c r="C102" s="119">
        <f t="shared" ref="C102:AP102" si="26">SUM(C96:C101)</f>
        <v>-960732.54731584399</v>
      </c>
      <c r="D102" s="119">
        <f t="shared" si="26"/>
        <v>-961201.29731584399</v>
      </c>
      <c r="E102" s="119">
        <f t="shared" si="26"/>
        <v>-961681.76606584399</v>
      </c>
      <c r="F102" s="119">
        <f t="shared" si="26"/>
        <v>-962174.24653459375</v>
      </c>
      <c r="G102" s="119">
        <f t="shared" si="26"/>
        <v>-962679.0390150625</v>
      </c>
      <c r="H102" s="119">
        <f t="shared" si="26"/>
        <v>-963196.45130754344</v>
      </c>
      <c r="I102" s="119">
        <f t="shared" si="26"/>
        <v>-963726.79890733573</v>
      </c>
      <c r="J102" s="119">
        <f t="shared" si="26"/>
        <v>-964270.40519712272</v>
      </c>
      <c r="K102" s="119">
        <f t="shared" si="26"/>
        <v>-964827.60164415499</v>
      </c>
      <c r="L102" s="119">
        <f t="shared" si="26"/>
        <v>-965398.72800236277</v>
      </c>
      <c r="M102" s="119">
        <f t="shared" si="26"/>
        <v>-965984.13251952536</v>
      </c>
      <c r="N102" s="119">
        <f t="shared" si="26"/>
        <v>-966584.17214961781</v>
      </c>
      <c r="O102" s="119">
        <f t="shared" si="26"/>
        <v>-967199.21277046192</v>
      </c>
      <c r="P102" s="119">
        <f t="shared" si="26"/>
        <v>-967829.62940682739</v>
      </c>
      <c r="Q102" s="119">
        <f t="shared" si="26"/>
        <v>13161262.403278559</v>
      </c>
      <c r="R102" s="119">
        <f t="shared" si="26"/>
        <v>-27155.59062183951</v>
      </c>
      <c r="S102" s="119">
        <f t="shared" si="26"/>
        <v>-27834.480387385702</v>
      </c>
      <c r="T102" s="119">
        <f t="shared" si="26"/>
        <v>-28530.342397070257</v>
      </c>
      <c r="U102" s="119">
        <f t="shared" si="26"/>
        <v>-29243.600956996903</v>
      </c>
      <c r="V102" s="119">
        <f t="shared" si="26"/>
        <v>-29974.690980921499</v>
      </c>
      <c r="W102" s="119">
        <f t="shared" si="26"/>
        <v>-30724.058255444746</v>
      </c>
      <c r="X102" s="119">
        <f t="shared" si="26"/>
        <v>-31492.159711831016</v>
      </c>
      <c r="Y102" s="119">
        <f t="shared" si="26"/>
        <v>-32279.463704627007</v>
      </c>
      <c r="Z102" s="119">
        <f t="shared" si="26"/>
        <v>-33086.450297242263</v>
      </c>
      <c r="AA102" s="119">
        <f t="shared" si="26"/>
        <v>3369015.6885290197</v>
      </c>
      <c r="AB102" s="119">
        <f t="shared" si="26"/>
        <v>0</v>
      </c>
      <c r="AC102" s="119">
        <f t="shared" si="26"/>
        <v>0</v>
      </c>
      <c r="AD102" s="119">
        <f t="shared" si="26"/>
        <v>0</v>
      </c>
      <c r="AE102" s="119">
        <f t="shared" si="26"/>
        <v>0</v>
      </c>
      <c r="AF102" s="119">
        <f t="shared" si="26"/>
        <v>0</v>
      </c>
      <c r="AG102" s="119">
        <f t="shared" si="26"/>
        <v>0</v>
      </c>
      <c r="AH102" s="119">
        <f t="shared" si="26"/>
        <v>0</v>
      </c>
      <c r="AI102" s="119">
        <f t="shared" si="26"/>
        <v>0</v>
      </c>
      <c r="AJ102" s="119">
        <f t="shared" si="26"/>
        <v>0</v>
      </c>
      <c r="AK102" s="119">
        <f t="shared" si="26"/>
        <v>0</v>
      </c>
      <c r="AL102" s="119">
        <f t="shared" si="26"/>
        <v>0</v>
      </c>
      <c r="AM102" s="119">
        <f t="shared" si="26"/>
        <v>0</v>
      </c>
      <c r="AN102" s="119">
        <f t="shared" si="26"/>
        <v>0</v>
      </c>
      <c r="AO102" s="119">
        <f t="shared" si="26"/>
        <v>0</v>
      </c>
      <c r="AP102" s="119">
        <f t="shared" si="26"/>
        <v>0</v>
      </c>
    </row>
    <row r="103" spans="1:42" x14ac:dyDescent="0.2">
      <c r="A103" s="18" t="s">
        <v>354</v>
      </c>
    </row>
    <row r="104" spans="1:42" x14ac:dyDescent="0.2">
      <c r="A104" s="22" t="s">
        <v>236</v>
      </c>
      <c r="B104" s="119">
        <f>B675</f>
        <v>0</v>
      </c>
      <c r="C104" s="119">
        <f t="shared" ref="C104:AP104" si="27">C675</f>
        <v>0</v>
      </c>
      <c r="D104" s="119">
        <f t="shared" si="27"/>
        <v>0</v>
      </c>
      <c r="E104" s="119">
        <f t="shared" si="27"/>
        <v>0</v>
      </c>
      <c r="F104" s="119">
        <f t="shared" si="27"/>
        <v>0</v>
      </c>
      <c r="G104" s="119">
        <f t="shared" si="27"/>
        <v>0</v>
      </c>
      <c r="H104" s="119">
        <f t="shared" si="27"/>
        <v>0</v>
      </c>
      <c r="I104" s="119">
        <f t="shared" si="27"/>
        <v>0</v>
      </c>
      <c r="J104" s="119">
        <f t="shared" si="27"/>
        <v>0</v>
      </c>
      <c r="K104" s="119">
        <f t="shared" si="27"/>
        <v>0</v>
      </c>
      <c r="L104" s="119">
        <f t="shared" si="27"/>
        <v>0</v>
      </c>
      <c r="M104" s="119">
        <f t="shared" si="27"/>
        <v>0</v>
      </c>
      <c r="N104" s="119">
        <f t="shared" si="27"/>
        <v>0</v>
      </c>
      <c r="O104" s="119">
        <f t="shared" si="27"/>
        <v>0</v>
      </c>
      <c r="P104" s="119">
        <f t="shared" si="27"/>
        <v>0</v>
      </c>
      <c r="Q104" s="119">
        <f t="shared" si="27"/>
        <v>-14129738.20973766</v>
      </c>
      <c r="R104" s="119">
        <f t="shared" si="27"/>
        <v>0</v>
      </c>
      <c r="S104" s="119">
        <f t="shared" si="27"/>
        <v>0</v>
      </c>
      <c r="T104" s="119">
        <f t="shared" si="27"/>
        <v>0</v>
      </c>
      <c r="U104" s="119">
        <f t="shared" si="27"/>
        <v>0</v>
      </c>
      <c r="V104" s="119">
        <f t="shared" si="27"/>
        <v>0</v>
      </c>
      <c r="W104" s="119">
        <f t="shared" si="27"/>
        <v>0</v>
      </c>
      <c r="X104" s="119">
        <f t="shared" si="27"/>
        <v>0</v>
      </c>
      <c r="Y104" s="119">
        <f t="shared" si="27"/>
        <v>0</v>
      </c>
      <c r="Z104" s="119">
        <f t="shared" si="27"/>
        <v>0</v>
      </c>
      <c r="AA104" s="119">
        <f t="shared" si="27"/>
        <v>0</v>
      </c>
      <c r="AB104" s="119">
        <f t="shared" si="27"/>
        <v>0</v>
      </c>
      <c r="AC104" s="119">
        <f t="shared" si="27"/>
        <v>0</v>
      </c>
      <c r="AD104" s="119">
        <f t="shared" si="27"/>
        <v>0</v>
      </c>
      <c r="AE104" s="119">
        <f t="shared" si="27"/>
        <v>0</v>
      </c>
      <c r="AF104" s="119">
        <f t="shared" si="27"/>
        <v>0</v>
      </c>
      <c r="AG104" s="119">
        <f t="shared" si="27"/>
        <v>0</v>
      </c>
      <c r="AH104" s="119">
        <f t="shared" si="27"/>
        <v>0</v>
      </c>
      <c r="AI104" s="119">
        <f t="shared" si="27"/>
        <v>0</v>
      </c>
      <c r="AJ104" s="119">
        <f t="shared" si="27"/>
        <v>0</v>
      </c>
      <c r="AK104" s="119">
        <f t="shared" si="27"/>
        <v>0</v>
      </c>
      <c r="AL104" s="119">
        <f t="shared" si="27"/>
        <v>0</v>
      </c>
      <c r="AM104" s="119">
        <f t="shared" si="27"/>
        <v>0</v>
      </c>
      <c r="AN104" s="119">
        <f t="shared" si="27"/>
        <v>0</v>
      </c>
      <c r="AO104" s="119">
        <f t="shared" si="27"/>
        <v>0</v>
      </c>
      <c r="AP104" s="119">
        <f t="shared" si="27"/>
        <v>0</v>
      </c>
    </row>
    <row r="105" spans="1:42" x14ac:dyDescent="0.2">
      <c r="A105" s="22" t="s">
        <v>237</v>
      </c>
      <c r="B105" s="119">
        <f>B707</f>
        <v>0</v>
      </c>
      <c r="C105" s="119">
        <f t="shared" ref="C105:AP105" si="28">C707</f>
        <v>0</v>
      </c>
      <c r="D105" s="119">
        <f t="shared" si="28"/>
        <v>0</v>
      </c>
      <c r="E105" s="119">
        <f t="shared" si="28"/>
        <v>0</v>
      </c>
      <c r="F105" s="119">
        <f t="shared" si="28"/>
        <v>0</v>
      </c>
      <c r="G105" s="119">
        <f t="shared" si="28"/>
        <v>0</v>
      </c>
      <c r="H105" s="119">
        <f t="shared" si="28"/>
        <v>0</v>
      </c>
      <c r="I105" s="119">
        <f t="shared" si="28"/>
        <v>0</v>
      </c>
      <c r="J105" s="119">
        <f t="shared" si="28"/>
        <v>0</v>
      </c>
      <c r="K105" s="119">
        <f t="shared" si="28"/>
        <v>0</v>
      </c>
      <c r="L105" s="119">
        <f t="shared" si="28"/>
        <v>0</v>
      </c>
      <c r="M105" s="119">
        <f t="shared" si="28"/>
        <v>0</v>
      </c>
      <c r="N105" s="119">
        <f t="shared" si="28"/>
        <v>0</v>
      </c>
      <c r="O105" s="119">
        <f t="shared" si="28"/>
        <v>0</v>
      </c>
      <c r="P105" s="119">
        <f t="shared" si="28"/>
        <v>0</v>
      </c>
      <c r="Q105" s="119">
        <f t="shared" si="28"/>
        <v>0</v>
      </c>
      <c r="R105" s="119">
        <f t="shared" si="28"/>
        <v>0</v>
      </c>
      <c r="S105" s="119">
        <f t="shared" si="28"/>
        <v>0</v>
      </c>
      <c r="T105" s="119">
        <f t="shared" si="28"/>
        <v>0</v>
      </c>
      <c r="U105" s="119">
        <f t="shared" si="28"/>
        <v>0</v>
      </c>
      <c r="V105" s="119">
        <f t="shared" si="28"/>
        <v>0</v>
      </c>
      <c r="W105" s="119">
        <f t="shared" si="28"/>
        <v>0</v>
      </c>
      <c r="X105" s="119">
        <f t="shared" si="28"/>
        <v>0</v>
      </c>
      <c r="Y105" s="119">
        <f t="shared" si="28"/>
        <v>0</v>
      </c>
      <c r="Z105" s="119">
        <f t="shared" si="28"/>
        <v>0</v>
      </c>
      <c r="AA105" s="119">
        <f t="shared" si="28"/>
        <v>0</v>
      </c>
      <c r="AB105" s="119">
        <f t="shared" si="28"/>
        <v>0</v>
      </c>
      <c r="AC105" s="119">
        <f t="shared" si="28"/>
        <v>0</v>
      </c>
      <c r="AD105" s="119">
        <f t="shared" si="28"/>
        <v>0</v>
      </c>
      <c r="AE105" s="119">
        <f t="shared" si="28"/>
        <v>0</v>
      </c>
      <c r="AF105" s="119">
        <f t="shared" si="28"/>
        <v>0</v>
      </c>
      <c r="AG105" s="119">
        <f t="shared" si="28"/>
        <v>0</v>
      </c>
      <c r="AH105" s="119">
        <f t="shared" si="28"/>
        <v>0</v>
      </c>
      <c r="AI105" s="119">
        <f t="shared" si="28"/>
        <v>0</v>
      </c>
      <c r="AJ105" s="119">
        <f t="shared" si="28"/>
        <v>0</v>
      </c>
      <c r="AK105" s="119">
        <f t="shared" si="28"/>
        <v>0</v>
      </c>
      <c r="AL105" s="119">
        <f t="shared" si="28"/>
        <v>0</v>
      </c>
      <c r="AM105" s="119">
        <f t="shared" si="28"/>
        <v>0</v>
      </c>
      <c r="AN105" s="119">
        <f t="shared" si="28"/>
        <v>0</v>
      </c>
      <c r="AO105" s="119">
        <f t="shared" si="28"/>
        <v>0</v>
      </c>
      <c r="AP105" s="119">
        <f t="shared" si="28"/>
        <v>0</v>
      </c>
    </row>
    <row r="106" spans="1:42" x14ac:dyDescent="0.2">
      <c r="A106" s="22" t="s">
        <v>238</v>
      </c>
      <c r="B106" s="120">
        <f>B739</f>
        <v>0</v>
      </c>
      <c r="C106" s="120">
        <f t="shared" ref="C106:AP106" si="29">C739</f>
        <v>0</v>
      </c>
      <c r="D106" s="120">
        <f t="shared" si="29"/>
        <v>0</v>
      </c>
      <c r="E106" s="120">
        <f t="shared" si="29"/>
        <v>0</v>
      </c>
      <c r="F106" s="120">
        <f t="shared" si="29"/>
        <v>0</v>
      </c>
      <c r="G106" s="120">
        <f t="shared" si="29"/>
        <v>0</v>
      </c>
      <c r="H106" s="120">
        <f t="shared" si="29"/>
        <v>0</v>
      </c>
      <c r="I106" s="120">
        <f t="shared" si="29"/>
        <v>0</v>
      </c>
      <c r="J106" s="120">
        <f t="shared" si="29"/>
        <v>0</v>
      </c>
      <c r="K106" s="120">
        <f t="shared" si="29"/>
        <v>0</v>
      </c>
      <c r="L106" s="120">
        <f t="shared" si="29"/>
        <v>0</v>
      </c>
      <c r="M106" s="120">
        <f t="shared" si="29"/>
        <v>0</v>
      </c>
      <c r="N106" s="120">
        <f t="shared" si="29"/>
        <v>0</v>
      </c>
      <c r="O106" s="120">
        <f t="shared" si="29"/>
        <v>0</v>
      </c>
      <c r="P106" s="120">
        <f t="shared" si="29"/>
        <v>0</v>
      </c>
      <c r="Q106" s="120">
        <f t="shared" si="29"/>
        <v>0</v>
      </c>
      <c r="R106" s="120">
        <f t="shared" si="29"/>
        <v>0</v>
      </c>
      <c r="S106" s="120">
        <f t="shared" si="29"/>
        <v>0</v>
      </c>
      <c r="T106" s="120">
        <f t="shared" si="29"/>
        <v>0</v>
      </c>
      <c r="U106" s="120">
        <f t="shared" si="29"/>
        <v>0</v>
      </c>
      <c r="V106" s="120">
        <f t="shared" si="29"/>
        <v>0</v>
      </c>
      <c r="W106" s="120">
        <f t="shared" si="29"/>
        <v>0</v>
      </c>
      <c r="X106" s="120">
        <f t="shared" si="29"/>
        <v>0</v>
      </c>
      <c r="Y106" s="120">
        <f t="shared" si="29"/>
        <v>0</v>
      </c>
      <c r="Z106" s="120">
        <f t="shared" si="29"/>
        <v>0</v>
      </c>
      <c r="AA106" s="120">
        <f t="shared" si="29"/>
        <v>0</v>
      </c>
      <c r="AB106" s="120">
        <f t="shared" si="29"/>
        <v>0</v>
      </c>
      <c r="AC106" s="120">
        <f t="shared" si="29"/>
        <v>0</v>
      </c>
      <c r="AD106" s="120">
        <f t="shared" si="29"/>
        <v>0</v>
      </c>
      <c r="AE106" s="120">
        <f t="shared" si="29"/>
        <v>0</v>
      </c>
      <c r="AF106" s="120">
        <f t="shared" si="29"/>
        <v>0</v>
      </c>
      <c r="AG106" s="120">
        <f t="shared" si="29"/>
        <v>0</v>
      </c>
      <c r="AH106" s="120">
        <f t="shared" si="29"/>
        <v>0</v>
      </c>
      <c r="AI106" s="120">
        <f t="shared" si="29"/>
        <v>0</v>
      </c>
      <c r="AJ106" s="120">
        <f t="shared" si="29"/>
        <v>0</v>
      </c>
      <c r="AK106" s="120">
        <f t="shared" si="29"/>
        <v>0</v>
      </c>
      <c r="AL106" s="120">
        <f t="shared" si="29"/>
        <v>0</v>
      </c>
      <c r="AM106" s="120">
        <f t="shared" si="29"/>
        <v>0</v>
      </c>
      <c r="AN106" s="120">
        <f t="shared" si="29"/>
        <v>0</v>
      </c>
      <c r="AO106" s="120">
        <f t="shared" si="29"/>
        <v>0</v>
      </c>
      <c r="AP106" s="120">
        <f t="shared" si="29"/>
        <v>0</v>
      </c>
    </row>
    <row r="107" spans="1:42" x14ac:dyDescent="0.2">
      <c r="A107" s="22" t="s">
        <v>329</v>
      </c>
      <c r="B107" s="125">
        <f>SUM(B104:B106)</f>
        <v>0</v>
      </c>
      <c r="C107" s="125">
        <f t="shared" ref="C107:AP107" si="30">SUM(C104:C106)</f>
        <v>0</v>
      </c>
      <c r="D107" s="125">
        <f t="shared" si="30"/>
        <v>0</v>
      </c>
      <c r="E107" s="125">
        <f t="shared" si="30"/>
        <v>0</v>
      </c>
      <c r="F107" s="125">
        <f t="shared" si="30"/>
        <v>0</v>
      </c>
      <c r="G107" s="125">
        <f t="shared" si="30"/>
        <v>0</v>
      </c>
      <c r="H107" s="125">
        <f t="shared" si="30"/>
        <v>0</v>
      </c>
      <c r="I107" s="125">
        <f t="shared" si="30"/>
        <v>0</v>
      </c>
      <c r="J107" s="125">
        <f t="shared" si="30"/>
        <v>0</v>
      </c>
      <c r="K107" s="125">
        <f t="shared" si="30"/>
        <v>0</v>
      </c>
      <c r="L107" s="125">
        <f t="shared" si="30"/>
        <v>0</v>
      </c>
      <c r="M107" s="125">
        <f t="shared" si="30"/>
        <v>0</v>
      </c>
      <c r="N107" s="125">
        <f t="shared" si="30"/>
        <v>0</v>
      </c>
      <c r="O107" s="125">
        <f t="shared" si="30"/>
        <v>0</v>
      </c>
      <c r="P107" s="125">
        <f t="shared" si="30"/>
        <v>0</v>
      </c>
      <c r="Q107" s="125">
        <f t="shared" si="30"/>
        <v>-14129738.20973766</v>
      </c>
      <c r="R107" s="125">
        <f t="shared" si="30"/>
        <v>0</v>
      </c>
      <c r="S107" s="125">
        <f t="shared" si="30"/>
        <v>0</v>
      </c>
      <c r="T107" s="125">
        <f t="shared" si="30"/>
        <v>0</v>
      </c>
      <c r="U107" s="125">
        <f t="shared" si="30"/>
        <v>0</v>
      </c>
      <c r="V107" s="125">
        <f t="shared" si="30"/>
        <v>0</v>
      </c>
      <c r="W107" s="125">
        <f t="shared" si="30"/>
        <v>0</v>
      </c>
      <c r="X107" s="125">
        <f t="shared" si="30"/>
        <v>0</v>
      </c>
      <c r="Y107" s="125">
        <f t="shared" si="30"/>
        <v>0</v>
      </c>
      <c r="Z107" s="125">
        <f t="shared" si="30"/>
        <v>0</v>
      </c>
      <c r="AA107" s="125">
        <f t="shared" si="30"/>
        <v>0</v>
      </c>
      <c r="AB107" s="125">
        <f t="shared" si="30"/>
        <v>0</v>
      </c>
      <c r="AC107" s="125">
        <f t="shared" si="30"/>
        <v>0</v>
      </c>
      <c r="AD107" s="125">
        <f t="shared" si="30"/>
        <v>0</v>
      </c>
      <c r="AE107" s="125">
        <f t="shared" si="30"/>
        <v>0</v>
      </c>
      <c r="AF107" s="125">
        <f t="shared" si="30"/>
        <v>0</v>
      </c>
      <c r="AG107" s="125">
        <f t="shared" si="30"/>
        <v>0</v>
      </c>
      <c r="AH107" s="125">
        <f t="shared" si="30"/>
        <v>0</v>
      </c>
      <c r="AI107" s="125">
        <f t="shared" si="30"/>
        <v>0</v>
      </c>
      <c r="AJ107" s="125">
        <f t="shared" si="30"/>
        <v>0</v>
      </c>
      <c r="AK107" s="125">
        <f t="shared" si="30"/>
        <v>0</v>
      </c>
      <c r="AL107" s="125">
        <f t="shared" si="30"/>
        <v>0</v>
      </c>
      <c r="AM107" s="125">
        <f t="shared" si="30"/>
        <v>0</v>
      </c>
      <c r="AN107" s="125">
        <f t="shared" si="30"/>
        <v>0</v>
      </c>
      <c r="AO107" s="125">
        <f t="shared" si="30"/>
        <v>0</v>
      </c>
      <c r="AP107" s="125">
        <f t="shared" si="30"/>
        <v>0</v>
      </c>
    </row>
    <row r="108" spans="1:42" x14ac:dyDescent="0.2">
      <c r="A108" s="205" t="s">
        <v>13</v>
      </c>
      <c r="B108" s="137">
        <f>SUM(B91:B94)+B102+B107</f>
        <v>-2762471.2263420783</v>
      </c>
      <c r="C108" s="137">
        <f>C$94+C$102+C$107</f>
        <v>-960732.54731584399</v>
      </c>
      <c r="D108" s="137">
        <f t="shared" ref="D108:AP108" si="31">D$94+D$102+D$107</f>
        <v>-961201.29731584399</v>
      </c>
      <c r="E108" s="137">
        <f t="shared" si="31"/>
        <v>-961681.76606584399</v>
      </c>
      <c r="F108" s="137">
        <f t="shared" si="31"/>
        <v>-962174.24653459375</v>
      </c>
      <c r="G108" s="137">
        <f t="shared" si="31"/>
        <v>-962679.0390150625</v>
      </c>
      <c r="H108" s="137">
        <f t="shared" si="31"/>
        <v>-963196.45130754344</v>
      </c>
      <c r="I108" s="137">
        <f t="shared" si="31"/>
        <v>-963726.79890733573</v>
      </c>
      <c r="J108" s="137">
        <f t="shared" si="31"/>
        <v>-964270.40519712272</v>
      </c>
      <c r="K108" s="137">
        <f t="shared" si="31"/>
        <v>-964827.60164415499</v>
      </c>
      <c r="L108" s="137">
        <f t="shared" si="31"/>
        <v>-965398.72800236277</v>
      </c>
      <c r="M108" s="137">
        <f t="shared" si="31"/>
        <v>-965984.13251952536</v>
      </c>
      <c r="N108" s="137">
        <f t="shared" si="31"/>
        <v>-966584.17214961781</v>
      </c>
      <c r="O108" s="137">
        <f t="shared" si="31"/>
        <v>-967199.21277046192</v>
      </c>
      <c r="P108" s="137">
        <f t="shared" si="31"/>
        <v>-967829.62940682739</v>
      </c>
      <c r="Q108" s="137">
        <f t="shared" si="31"/>
        <v>-968475.80645910092</v>
      </c>
      <c r="R108" s="137">
        <f t="shared" si="31"/>
        <v>-27155.59062183951</v>
      </c>
      <c r="S108" s="137">
        <f t="shared" si="31"/>
        <v>-27834.480387385702</v>
      </c>
      <c r="T108" s="137">
        <f t="shared" si="31"/>
        <v>-28530.342397070257</v>
      </c>
      <c r="U108" s="137">
        <f t="shared" si="31"/>
        <v>-29243.600956996903</v>
      </c>
      <c r="V108" s="137">
        <f t="shared" si="31"/>
        <v>-29974.690980921499</v>
      </c>
      <c r="W108" s="137">
        <f t="shared" si="31"/>
        <v>-30724.058255444746</v>
      </c>
      <c r="X108" s="137">
        <f t="shared" si="31"/>
        <v>-31492.159711831016</v>
      </c>
      <c r="Y108" s="137">
        <f t="shared" si="31"/>
        <v>-32279.463704627007</v>
      </c>
      <c r="Z108" s="137">
        <f t="shared" si="31"/>
        <v>-33086.450297242263</v>
      </c>
      <c r="AA108" s="137">
        <f t="shared" si="31"/>
        <v>3369015.6885290197</v>
      </c>
      <c r="AB108" s="137">
        <f t="shared" si="31"/>
        <v>0</v>
      </c>
      <c r="AC108" s="137">
        <f t="shared" si="31"/>
        <v>0</v>
      </c>
      <c r="AD108" s="137">
        <f t="shared" si="31"/>
        <v>0</v>
      </c>
      <c r="AE108" s="137">
        <f t="shared" si="31"/>
        <v>0</v>
      </c>
      <c r="AF108" s="137">
        <f t="shared" si="31"/>
        <v>0</v>
      </c>
      <c r="AG108" s="137">
        <f t="shared" si="31"/>
        <v>0</v>
      </c>
      <c r="AH108" s="137">
        <f t="shared" si="31"/>
        <v>0</v>
      </c>
      <c r="AI108" s="137">
        <f t="shared" si="31"/>
        <v>0</v>
      </c>
      <c r="AJ108" s="137">
        <f t="shared" si="31"/>
        <v>0</v>
      </c>
      <c r="AK108" s="137">
        <f t="shared" si="31"/>
        <v>0</v>
      </c>
      <c r="AL108" s="137">
        <f t="shared" si="31"/>
        <v>0</v>
      </c>
      <c r="AM108" s="137">
        <f t="shared" si="31"/>
        <v>0</v>
      </c>
      <c r="AN108" s="137">
        <f t="shared" si="31"/>
        <v>0</v>
      </c>
      <c r="AO108" s="137">
        <f t="shared" si="31"/>
        <v>0</v>
      </c>
      <c r="AP108" s="137">
        <f t="shared" si="31"/>
        <v>0</v>
      </c>
    </row>
    <row r="109" spans="1:42" x14ac:dyDescent="0.2">
      <c r="A109" s="18"/>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row>
    <row r="110" spans="1:42" x14ac:dyDescent="0.2">
      <c r="A110" s="20" t="s">
        <v>58</v>
      </c>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row>
    <row r="111" spans="1:42" x14ac:dyDescent="0.2">
      <c r="A111" s="18" t="s">
        <v>272</v>
      </c>
      <c r="B111" s="119">
        <f>B662</f>
        <v>2012471.2263420781</v>
      </c>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row>
    <row r="112" spans="1:42" x14ac:dyDescent="0.2">
      <c r="A112" s="18" t="s">
        <v>273</v>
      </c>
      <c r="B112" s="120">
        <f>B656</f>
        <v>750000</v>
      </c>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row>
    <row r="113" spans="1:42" x14ac:dyDescent="0.2">
      <c r="A113" s="18" t="s">
        <v>355</v>
      </c>
      <c r="B113" s="119">
        <f>SUM(B111:B112)</f>
        <v>2762471.2263420783</v>
      </c>
      <c r="C113" s="120">
        <v>0</v>
      </c>
      <c r="D113" s="120">
        <v>0</v>
      </c>
      <c r="E113" s="120">
        <v>0</v>
      </c>
      <c r="F113" s="120">
        <v>0</v>
      </c>
      <c r="G113" s="120">
        <v>0</v>
      </c>
      <c r="H113" s="120">
        <v>0</v>
      </c>
      <c r="I113" s="120">
        <v>0</v>
      </c>
      <c r="J113" s="120">
        <v>0</v>
      </c>
      <c r="K113" s="120">
        <v>0</v>
      </c>
      <c r="L113" s="120">
        <v>0</v>
      </c>
      <c r="M113" s="120">
        <v>0</v>
      </c>
      <c r="N113" s="120">
        <v>0</v>
      </c>
      <c r="O113" s="120">
        <v>0</v>
      </c>
      <c r="P113" s="120">
        <v>0</v>
      </c>
      <c r="Q113" s="120">
        <v>0</v>
      </c>
      <c r="R113" s="120">
        <v>0</v>
      </c>
      <c r="S113" s="120">
        <v>0</v>
      </c>
      <c r="T113" s="120">
        <v>0</v>
      </c>
      <c r="U113" s="120">
        <v>0</v>
      </c>
      <c r="V113" s="120">
        <v>0</v>
      </c>
      <c r="W113" s="120">
        <v>0</v>
      </c>
      <c r="X113" s="120">
        <v>0</v>
      </c>
      <c r="Y113" s="120">
        <v>0</v>
      </c>
      <c r="Z113" s="120">
        <v>0</v>
      </c>
      <c r="AA113" s="120">
        <v>0</v>
      </c>
      <c r="AB113" s="120">
        <v>0</v>
      </c>
      <c r="AC113" s="120">
        <v>0</v>
      </c>
      <c r="AD113" s="120">
        <v>0</v>
      </c>
      <c r="AE113" s="120">
        <v>0</v>
      </c>
      <c r="AF113" s="120">
        <v>0</v>
      </c>
      <c r="AG113" s="120">
        <v>0</v>
      </c>
      <c r="AH113" s="120">
        <v>0</v>
      </c>
      <c r="AI113" s="120">
        <v>0</v>
      </c>
      <c r="AJ113" s="120">
        <v>0</v>
      </c>
      <c r="AK113" s="120">
        <v>0</v>
      </c>
      <c r="AL113" s="120">
        <v>0</v>
      </c>
      <c r="AM113" s="120">
        <v>0</v>
      </c>
      <c r="AN113" s="120">
        <v>0</v>
      </c>
      <c r="AO113" s="120">
        <v>0</v>
      </c>
      <c r="AP113" s="120">
        <v>0</v>
      </c>
    </row>
    <row r="114" spans="1:42" x14ac:dyDescent="0.2">
      <c r="A114" s="205" t="s">
        <v>13</v>
      </c>
      <c r="B114" s="137">
        <f>B113</f>
        <v>2762471.2263420783</v>
      </c>
      <c r="C114" s="137">
        <f t="shared" ref="C114:AP114" si="32">C113</f>
        <v>0</v>
      </c>
      <c r="D114" s="137">
        <f t="shared" si="32"/>
        <v>0</v>
      </c>
      <c r="E114" s="137">
        <f t="shared" si="32"/>
        <v>0</v>
      </c>
      <c r="F114" s="137">
        <f t="shared" si="32"/>
        <v>0</v>
      </c>
      <c r="G114" s="137">
        <f t="shared" si="32"/>
        <v>0</v>
      </c>
      <c r="H114" s="137">
        <f t="shared" si="32"/>
        <v>0</v>
      </c>
      <c r="I114" s="137">
        <f t="shared" si="32"/>
        <v>0</v>
      </c>
      <c r="J114" s="137">
        <f t="shared" si="32"/>
        <v>0</v>
      </c>
      <c r="K114" s="137">
        <f t="shared" si="32"/>
        <v>0</v>
      </c>
      <c r="L114" s="137">
        <f t="shared" si="32"/>
        <v>0</v>
      </c>
      <c r="M114" s="137">
        <f t="shared" si="32"/>
        <v>0</v>
      </c>
      <c r="N114" s="137">
        <f t="shared" si="32"/>
        <v>0</v>
      </c>
      <c r="O114" s="137">
        <f t="shared" si="32"/>
        <v>0</v>
      </c>
      <c r="P114" s="137">
        <f t="shared" si="32"/>
        <v>0</v>
      </c>
      <c r="Q114" s="137">
        <f t="shared" si="32"/>
        <v>0</v>
      </c>
      <c r="R114" s="137">
        <f t="shared" si="32"/>
        <v>0</v>
      </c>
      <c r="S114" s="137">
        <f t="shared" si="32"/>
        <v>0</v>
      </c>
      <c r="T114" s="137">
        <f t="shared" si="32"/>
        <v>0</v>
      </c>
      <c r="U114" s="137">
        <f t="shared" si="32"/>
        <v>0</v>
      </c>
      <c r="V114" s="137">
        <f t="shared" si="32"/>
        <v>0</v>
      </c>
      <c r="W114" s="137">
        <f t="shared" si="32"/>
        <v>0</v>
      </c>
      <c r="X114" s="137">
        <f t="shared" si="32"/>
        <v>0</v>
      </c>
      <c r="Y114" s="137">
        <f t="shared" si="32"/>
        <v>0</v>
      </c>
      <c r="Z114" s="137">
        <f t="shared" si="32"/>
        <v>0</v>
      </c>
      <c r="AA114" s="137">
        <f t="shared" si="32"/>
        <v>0</v>
      </c>
      <c r="AB114" s="137">
        <f t="shared" si="32"/>
        <v>0</v>
      </c>
      <c r="AC114" s="137">
        <f t="shared" si="32"/>
        <v>0</v>
      </c>
      <c r="AD114" s="137">
        <f t="shared" si="32"/>
        <v>0</v>
      </c>
      <c r="AE114" s="137">
        <f t="shared" si="32"/>
        <v>0</v>
      </c>
      <c r="AF114" s="137">
        <f t="shared" si="32"/>
        <v>0</v>
      </c>
      <c r="AG114" s="137">
        <f t="shared" si="32"/>
        <v>0</v>
      </c>
      <c r="AH114" s="137">
        <f t="shared" si="32"/>
        <v>0</v>
      </c>
      <c r="AI114" s="137">
        <f t="shared" si="32"/>
        <v>0</v>
      </c>
      <c r="AJ114" s="137">
        <f t="shared" si="32"/>
        <v>0</v>
      </c>
      <c r="AK114" s="137">
        <f t="shared" si="32"/>
        <v>0</v>
      </c>
      <c r="AL114" s="137">
        <f t="shared" si="32"/>
        <v>0</v>
      </c>
      <c r="AM114" s="137">
        <f t="shared" si="32"/>
        <v>0</v>
      </c>
      <c r="AN114" s="137">
        <f t="shared" si="32"/>
        <v>0</v>
      </c>
      <c r="AO114" s="137">
        <f t="shared" si="32"/>
        <v>0</v>
      </c>
      <c r="AP114" s="137">
        <f t="shared" si="32"/>
        <v>0</v>
      </c>
    </row>
    <row r="115" spans="1:42" x14ac:dyDescent="0.2">
      <c r="A115" s="18"/>
      <c r="B115" s="119"/>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row>
    <row r="116" spans="1:42" x14ac:dyDescent="0.2">
      <c r="A116" s="18" t="s">
        <v>274</v>
      </c>
      <c r="B116" s="119">
        <f t="shared" ref="B116:AP116" si="33">B88+B108+B114</f>
        <v>0</v>
      </c>
      <c r="C116" s="119">
        <f t="shared" si="33"/>
        <v>4024942.4526841561</v>
      </c>
      <c r="D116" s="119">
        <f t="shared" si="33"/>
        <v>4000942.8595256046</v>
      </c>
      <c r="E116" s="119">
        <f t="shared" si="33"/>
        <v>3975399.9069920522</v>
      </c>
      <c r="F116" s="119">
        <f t="shared" si="33"/>
        <v>3948294.0110991257</v>
      </c>
      <c r="G116" s="119">
        <f t="shared" si="33"/>
        <v>3919564.6782628396</v>
      </c>
      <c r="H116" s="119">
        <f t="shared" si="33"/>
        <v>3889180.4841596102</v>
      </c>
      <c r="I116" s="119">
        <f t="shared" si="33"/>
        <v>3857109.0520897629</v>
      </c>
      <c r="J116" s="119">
        <f t="shared" si="33"/>
        <v>3823297.0308327745</v>
      </c>
      <c r="K116" s="119">
        <f t="shared" si="33"/>
        <v>3787700.0719821774</v>
      </c>
      <c r="L116" s="119">
        <f t="shared" si="33"/>
        <v>3750282.8067478091</v>
      </c>
      <c r="M116" s="119">
        <f t="shared" si="33"/>
        <v>3710998.8222127454</v>
      </c>
      <c r="N116" s="119">
        <f t="shared" si="33"/>
        <v>3669790.6370319952</v>
      </c>
      <c r="O116" s="119">
        <f t="shared" si="33"/>
        <v>3626619.6765596867</v>
      </c>
      <c r="P116" s="119">
        <f t="shared" si="33"/>
        <v>3581436.2473912146</v>
      </c>
      <c r="Q116" s="119">
        <f t="shared" si="33"/>
        <v>3534179.5113064069</v>
      </c>
      <c r="R116" s="119">
        <f t="shared" si="33"/>
        <v>4250188.2782936571</v>
      </c>
      <c r="S116" s="119">
        <f t="shared" si="33"/>
        <v>4186882.9186342387</v>
      </c>
      <c r="T116" s="119">
        <f t="shared" si="33"/>
        <v>4121364.5986510003</v>
      </c>
      <c r="U116" s="119">
        <f t="shared" si="33"/>
        <v>4053567.6278091995</v>
      </c>
      <c r="V116" s="119">
        <f t="shared" si="33"/>
        <v>3983445.0309801926</v>
      </c>
      <c r="W116" s="119">
        <f t="shared" si="33"/>
        <v>3910928.5184799763</v>
      </c>
      <c r="X116" s="119">
        <f t="shared" si="33"/>
        <v>3835968.4554017596</v>
      </c>
      <c r="Y116" s="119">
        <f t="shared" si="33"/>
        <v>3758503.8302257825</v>
      </c>
      <c r="Z116" s="119">
        <f t="shared" si="33"/>
        <v>3678482.2226891862</v>
      </c>
      <c r="AA116" s="119">
        <f t="shared" si="33"/>
        <v>6998749.0709820231</v>
      </c>
      <c r="AB116" s="119">
        <f t="shared" si="33"/>
        <v>0</v>
      </c>
      <c r="AC116" s="119">
        <f t="shared" si="33"/>
        <v>0</v>
      </c>
      <c r="AD116" s="119">
        <f t="shared" si="33"/>
        <v>0</v>
      </c>
      <c r="AE116" s="119">
        <f t="shared" si="33"/>
        <v>0</v>
      </c>
      <c r="AF116" s="119">
        <f t="shared" si="33"/>
        <v>0</v>
      </c>
      <c r="AG116" s="119">
        <f t="shared" si="33"/>
        <v>0</v>
      </c>
      <c r="AH116" s="119">
        <f t="shared" si="33"/>
        <v>0</v>
      </c>
      <c r="AI116" s="119">
        <f t="shared" si="33"/>
        <v>0</v>
      </c>
      <c r="AJ116" s="119">
        <f t="shared" si="33"/>
        <v>0</v>
      </c>
      <c r="AK116" s="119">
        <f t="shared" si="33"/>
        <v>0</v>
      </c>
      <c r="AL116" s="119">
        <f t="shared" si="33"/>
        <v>0</v>
      </c>
      <c r="AM116" s="119">
        <f t="shared" si="33"/>
        <v>0</v>
      </c>
      <c r="AN116" s="119">
        <f t="shared" si="33"/>
        <v>0</v>
      </c>
      <c r="AO116" s="119">
        <f t="shared" si="33"/>
        <v>0</v>
      </c>
      <c r="AP116" s="119">
        <f t="shared" si="33"/>
        <v>0</v>
      </c>
    </row>
    <row r="117" spans="1:42" x14ac:dyDescent="0.2">
      <c r="A117" s="280" t="s">
        <v>275</v>
      </c>
      <c r="B117" s="120">
        <v>0</v>
      </c>
      <c r="C117" s="120">
        <f t="shared" ref="C117:AP117" si="34">C657+C663+C675+C707+C739-C107</f>
        <v>0</v>
      </c>
      <c r="D117" s="120">
        <f t="shared" si="34"/>
        <v>0</v>
      </c>
      <c r="E117" s="120">
        <f t="shared" si="34"/>
        <v>0</v>
      </c>
      <c r="F117" s="120">
        <f t="shared" si="34"/>
        <v>0</v>
      </c>
      <c r="G117" s="120">
        <f t="shared" si="34"/>
        <v>0</v>
      </c>
      <c r="H117" s="120">
        <f t="shared" si="34"/>
        <v>0</v>
      </c>
      <c r="I117" s="120">
        <f t="shared" si="34"/>
        <v>0</v>
      </c>
      <c r="J117" s="120">
        <f t="shared" si="34"/>
        <v>0</v>
      </c>
      <c r="K117" s="120">
        <f t="shared" si="34"/>
        <v>0</v>
      </c>
      <c r="L117" s="120">
        <f t="shared" si="34"/>
        <v>0</v>
      </c>
      <c r="M117" s="120">
        <f t="shared" si="34"/>
        <v>0</v>
      </c>
      <c r="N117" s="120">
        <f t="shared" si="34"/>
        <v>0</v>
      </c>
      <c r="O117" s="120">
        <f t="shared" si="34"/>
        <v>0</v>
      </c>
      <c r="P117" s="120">
        <f t="shared" si="34"/>
        <v>0</v>
      </c>
      <c r="Q117" s="120">
        <f t="shared" si="34"/>
        <v>0</v>
      </c>
      <c r="R117" s="120">
        <f t="shared" si="34"/>
        <v>0</v>
      </c>
      <c r="S117" s="120">
        <f t="shared" si="34"/>
        <v>0</v>
      </c>
      <c r="T117" s="120">
        <f t="shared" si="34"/>
        <v>0</v>
      </c>
      <c r="U117" s="120">
        <f t="shared" si="34"/>
        <v>0</v>
      </c>
      <c r="V117" s="120">
        <f t="shared" si="34"/>
        <v>0</v>
      </c>
      <c r="W117" s="120">
        <f t="shared" si="34"/>
        <v>0</v>
      </c>
      <c r="X117" s="120">
        <f t="shared" si="34"/>
        <v>0</v>
      </c>
      <c r="Y117" s="120">
        <f t="shared" si="34"/>
        <v>0</v>
      </c>
      <c r="Z117" s="120">
        <f t="shared" si="34"/>
        <v>0</v>
      </c>
      <c r="AA117" s="120">
        <f t="shared" si="34"/>
        <v>-3369015.6885290197</v>
      </c>
      <c r="AB117" s="120">
        <f t="shared" si="34"/>
        <v>0</v>
      </c>
      <c r="AC117" s="120">
        <f t="shared" si="34"/>
        <v>0</v>
      </c>
      <c r="AD117" s="120">
        <f t="shared" si="34"/>
        <v>0</v>
      </c>
      <c r="AE117" s="120">
        <f t="shared" si="34"/>
        <v>0</v>
      </c>
      <c r="AF117" s="120">
        <f t="shared" si="34"/>
        <v>0</v>
      </c>
      <c r="AG117" s="120">
        <f t="shared" si="34"/>
        <v>0</v>
      </c>
      <c r="AH117" s="120">
        <f t="shared" si="34"/>
        <v>0</v>
      </c>
      <c r="AI117" s="120">
        <f t="shared" si="34"/>
        <v>0</v>
      </c>
      <c r="AJ117" s="120">
        <f t="shared" si="34"/>
        <v>0</v>
      </c>
      <c r="AK117" s="120">
        <f t="shared" si="34"/>
        <v>0</v>
      </c>
      <c r="AL117" s="120">
        <f t="shared" si="34"/>
        <v>0</v>
      </c>
      <c r="AM117" s="120">
        <f t="shared" si="34"/>
        <v>0</v>
      </c>
      <c r="AN117" s="120">
        <f t="shared" si="34"/>
        <v>0</v>
      </c>
      <c r="AO117" s="120">
        <f t="shared" si="34"/>
        <v>0</v>
      </c>
      <c r="AP117" s="120">
        <f t="shared" si="34"/>
        <v>0</v>
      </c>
    </row>
    <row r="118" spans="1:42" x14ac:dyDescent="0.2">
      <c r="A118" s="279" t="s">
        <v>276</v>
      </c>
      <c r="B118" s="120">
        <f>SUM(B116:B117)</f>
        <v>0</v>
      </c>
      <c r="C118" s="120">
        <f t="shared" ref="C118:AP118" si="35">SUM(C116:C117)</f>
        <v>4024942.4526841561</v>
      </c>
      <c r="D118" s="120">
        <f t="shared" si="35"/>
        <v>4000942.8595256046</v>
      </c>
      <c r="E118" s="120">
        <f t="shared" si="35"/>
        <v>3975399.9069920522</v>
      </c>
      <c r="F118" s="120">
        <f t="shared" si="35"/>
        <v>3948294.0110991257</v>
      </c>
      <c r="G118" s="120">
        <f t="shared" si="35"/>
        <v>3919564.6782628396</v>
      </c>
      <c r="H118" s="120">
        <f t="shared" si="35"/>
        <v>3889180.4841596102</v>
      </c>
      <c r="I118" s="120">
        <f t="shared" si="35"/>
        <v>3857109.0520897629</v>
      </c>
      <c r="J118" s="120">
        <f t="shared" si="35"/>
        <v>3823297.0308327745</v>
      </c>
      <c r="K118" s="120">
        <f t="shared" si="35"/>
        <v>3787700.0719821774</v>
      </c>
      <c r="L118" s="120">
        <f t="shared" si="35"/>
        <v>3750282.8067478091</v>
      </c>
      <c r="M118" s="120">
        <f t="shared" si="35"/>
        <v>3710998.8222127454</v>
      </c>
      <c r="N118" s="120">
        <f t="shared" si="35"/>
        <v>3669790.6370319952</v>
      </c>
      <c r="O118" s="120">
        <f t="shared" si="35"/>
        <v>3626619.6765596867</v>
      </c>
      <c r="P118" s="120">
        <f t="shared" si="35"/>
        <v>3581436.2473912146</v>
      </c>
      <c r="Q118" s="120">
        <f t="shared" si="35"/>
        <v>3534179.5113064069</v>
      </c>
      <c r="R118" s="120">
        <f t="shared" si="35"/>
        <v>4250188.2782936571</v>
      </c>
      <c r="S118" s="120">
        <f t="shared" si="35"/>
        <v>4186882.9186342387</v>
      </c>
      <c r="T118" s="120">
        <f t="shared" si="35"/>
        <v>4121364.5986510003</v>
      </c>
      <c r="U118" s="120">
        <f t="shared" si="35"/>
        <v>4053567.6278091995</v>
      </c>
      <c r="V118" s="120">
        <f t="shared" si="35"/>
        <v>3983445.0309801926</v>
      </c>
      <c r="W118" s="120">
        <f t="shared" si="35"/>
        <v>3910928.5184799763</v>
      </c>
      <c r="X118" s="120">
        <f t="shared" si="35"/>
        <v>3835968.4554017596</v>
      </c>
      <c r="Y118" s="120">
        <f t="shared" si="35"/>
        <v>3758503.8302257825</v>
      </c>
      <c r="Z118" s="120">
        <f t="shared" si="35"/>
        <v>3678482.2226891862</v>
      </c>
      <c r="AA118" s="120">
        <f t="shared" si="35"/>
        <v>3629733.3824530034</v>
      </c>
      <c r="AB118" s="120">
        <f t="shared" si="35"/>
        <v>0</v>
      </c>
      <c r="AC118" s="120">
        <f t="shared" si="35"/>
        <v>0</v>
      </c>
      <c r="AD118" s="120">
        <f t="shared" si="35"/>
        <v>0</v>
      </c>
      <c r="AE118" s="120">
        <f t="shared" si="35"/>
        <v>0</v>
      </c>
      <c r="AF118" s="120">
        <f t="shared" si="35"/>
        <v>0</v>
      </c>
      <c r="AG118" s="120">
        <f t="shared" si="35"/>
        <v>0</v>
      </c>
      <c r="AH118" s="120">
        <f t="shared" si="35"/>
        <v>0</v>
      </c>
      <c r="AI118" s="120">
        <f t="shared" si="35"/>
        <v>0</v>
      </c>
      <c r="AJ118" s="120">
        <f t="shared" si="35"/>
        <v>0</v>
      </c>
      <c r="AK118" s="120">
        <f t="shared" si="35"/>
        <v>0</v>
      </c>
      <c r="AL118" s="120">
        <f t="shared" si="35"/>
        <v>0</v>
      </c>
      <c r="AM118" s="120">
        <f t="shared" si="35"/>
        <v>0</v>
      </c>
      <c r="AN118" s="120">
        <f t="shared" si="35"/>
        <v>0</v>
      </c>
      <c r="AO118" s="120">
        <f t="shared" si="35"/>
        <v>0</v>
      </c>
      <c r="AP118" s="120">
        <f t="shared" si="35"/>
        <v>0</v>
      </c>
    </row>
    <row r="119" spans="1:42" x14ac:dyDescent="0.2">
      <c r="A119" s="278"/>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row>
    <row r="120" spans="1:42" x14ac:dyDescent="0.2">
      <c r="A120" s="82" t="s">
        <v>278</v>
      </c>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row>
    <row r="121" spans="1:42" x14ac:dyDescent="0.2">
      <c r="A121" s="20" t="s">
        <v>277</v>
      </c>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row>
    <row r="122" spans="1:42" x14ac:dyDescent="0.2">
      <c r="A122" s="4" t="s">
        <v>279</v>
      </c>
      <c r="B122" s="119">
        <f>B118</f>
        <v>0</v>
      </c>
      <c r="C122" s="119">
        <f t="shared" ref="C122:AP122" si="36">C118</f>
        <v>4024942.4526841561</v>
      </c>
      <c r="D122" s="119">
        <f t="shared" si="36"/>
        <v>4000942.8595256046</v>
      </c>
      <c r="E122" s="119">
        <f t="shared" si="36"/>
        <v>3975399.9069920522</v>
      </c>
      <c r="F122" s="119">
        <f t="shared" si="36"/>
        <v>3948294.0110991257</v>
      </c>
      <c r="G122" s="119">
        <f t="shared" si="36"/>
        <v>3919564.6782628396</v>
      </c>
      <c r="H122" s="119">
        <f t="shared" si="36"/>
        <v>3889180.4841596102</v>
      </c>
      <c r="I122" s="119">
        <f t="shared" si="36"/>
        <v>3857109.0520897629</v>
      </c>
      <c r="J122" s="119">
        <f t="shared" si="36"/>
        <v>3823297.0308327745</v>
      </c>
      <c r="K122" s="119">
        <f t="shared" si="36"/>
        <v>3787700.0719821774</v>
      </c>
      <c r="L122" s="119">
        <f t="shared" si="36"/>
        <v>3750282.8067478091</v>
      </c>
      <c r="M122" s="119">
        <f t="shared" si="36"/>
        <v>3710998.8222127454</v>
      </c>
      <c r="N122" s="119">
        <f t="shared" si="36"/>
        <v>3669790.6370319952</v>
      </c>
      <c r="O122" s="119">
        <f t="shared" si="36"/>
        <v>3626619.6765596867</v>
      </c>
      <c r="P122" s="119">
        <f t="shared" si="36"/>
        <v>3581436.2473912146</v>
      </c>
      <c r="Q122" s="119">
        <f t="shared" si="36"/>
        <v>3534179.5113064069</v>
      </c>
      <c r="R122" s="119">
        <f t="shared" si="36"/>
        <v>4250188.2782936571</v>
      </c>
      <c r="S122" s="119">
        <f t="shared" si="36"/>
        <v>4186882.9186342387</v>
      </c>
      <c r="T122" s="119">
        <f t="shared" si="36"/>
        <v>4121364.5986510003</v>
      </c>
      <c r="U122" s="119">
        <f t="shared" si="36"/>
        <v>4053567.6278091995</v>
      </c>
      <c r="V122" s="119">
        <f t="shared" si="36"/>
        <v>3983445.0309801926</v>
      </c>
      <c r="W122" s="119">
        <f t="shared" si="36"/>
        <v>3910928.5184799763</v>
      </c>
      <c r="X122" s="119">
        <f t="shared" si="36"/>
        <v>3835968.4554017596</v>
      </c>
      <c r="Y122" s="119">
        <f t="shared" si="36"/>
        <v>3758503.8302257825</v>
      </c>
      <c r="Z122" s="119">
        <f t="shared" si="36"/>
        <v>3678482.2226891862</v>
      </c>
      <c r="AA122" s="119">
        <f t="shared" si="36"/>
        <v>3629733.3824530034</v>
      </c>
      <c r="AB122" s="119">
        <f t="shared" si="36"/>
        <v>0</v>
      </c>
      <c r="AC122" s="119">
        <f t="shared" si="36"/>
        <v>0</v>
      </c>
      <c r="AD122" s="119">
        <f t="shared" si="36"/>
        <v>0</v>
      </c>
      <c r="AE122" s="119">
        <f t="shared" si="36"/>
        <v>0</v>
      </c>
      <c r="AF122" s="119">
        <f t="shared" si="36"/>
        <v>0</v>
      </c>
      <c r="AG122" s="119">
        <f t="shared" si="36"/>
        <v>0</v>
      </c>
      <c r="AH122" s="119">
        <f t="shared" si="36"/>
        <v>0</v>
      </c>
      <c r="AI122" s="119">
        <f t="shared" si="36"/>
        <v>0</v>
      </c>
      <c r="AJ122" s="119">
        <f t="shared" si="36"/>
        <v>0</v>
      </c>
      <c r="AK122" s="119">
        <f t="shared" si="36"/>
        <v>0</v>
      </c>
      <c r="AL122" s="119">
        <f t="shared" si="36"/>
        <v>0</v>
      </c>
      <c r="AM122" s="119">
        <f t="shared" si="36"/>
        <v>0</v>
      </c>
      <c r="AN122" s="119">
        <f t="shared" si="36"/>
        <v>0</v>
      </c>
      <c r="AO122" s="119">
        <f t="shared" si="36"/>
        <v>0</v>
      </c>
      <c r="AP122" s="119">
        <f t="shared" si="36"/>
        <v>0</v>
      </c>
    </row>
    <row r="123" spans="1:42" x14ac:dyDescent="0.2">
      <c r="A123" s="30" t="s">
        <v>13</v>
      </c>
      <c r="B123" s="137">
        <f>B122</f>
        <v>0</v>
      </c>
      <c r="C123" s="137">
        <f t="shared" ref="C123:AP123" si="37">C122</f>
        <v>4024942.4526841561</v>
      </c>
      <c r="D123" s="137">
        <f t="shared" si="37"/>
        <v>4000942.8595256046</v>
      </c>
      <c r="E123" s="137">
        <f t="shared" si="37"/>
        <v>3975399.9069920522</v>
      </c>
      <c r="F123" s="137">
        <f t="shared" si="37"/>
        <v>3948294.0110991257</v>
      </c>
      <c r="G123" s="137">
        <f t="shared" si="37"/>
        <v>3919564.6782628396</v>
      </c>
      <c r="H123" s="137">
        <f t="shared" si="37"/>
        <v>3889180.4841596102</v>
      </c>
      <c r="I123" s="137">
        <f t="shared" si="37"/>
        <v>3857109.0520897629</v>
      </c>
      <c r="J123" s="137">
        <f t="shared" si="37"/>
        <v>3823297.0308327745</v>
      </c>
      <c r="K123" s="137">
        <f t="shared" si="37"/>
        <v>3787700.0719821774</v>
      </c>
      <c r="L123" s="137">
        <f t="shared" si="37"/>
        <v>3750282.8067478091</v>
      </c>
      <c r="M123" s="137">
        <f t="shared" si="37"/>
        <v>3710998.8222127454</v>
      </c>
      <c r="N123" s="137">
        <f t="shared" si="37"/>
        <v>3669790.6370319952</v>
      </c>
      <c r="O123" s="137">
        <f t="shared" si="37"/>
        <v>3626619.6765596867</v>
      </c>
      <c r="P123" s="137">
        <f t="shared" si="37"/>
        <v>3581436.2473912146</v>
      </c>
      <c r="Q123" s="137">
        <f t="shared" si="37"/>
        <v>3534179.5113064069</v>
      </c>
      <c r="R123" s="137">
        <f t="shared" si="37"/>
        <v>4250188.2782936571</v>
      </c>
      <c r="S123" s="137">
        <f t="shared" si="37"/>
        <v>4186882.9186342387</v>
      </c>
      <c r="T123" s="137">
        <f t="shared" si="37"/>
        <v>4121364.5986510003</v>
      </c>
      <c r="U123" s="137">
        <f t="shared" si="37"/>
        <v>4053567.6278091995</v>
      </c>
      <c r="V123" s="137">
        <f t="shared" si="37"/>
        <v>3983445.0309801926</v>
      </c>
      <c r="W123" s="137">
        <f t="shared" si="37"/>
        <v>3910928.5184799763</v>
      </c>
      <c r="X123" s="137">
        <f t="shared" si="37"/>
        <v>3835968.4554017596</v>
      </c>
      <c r="Y123" s="137">
        <f t="shared" si="37"/>
        <v>3758503.8302257825</v>
      </c>
      <c r="Z123" s="137">
        <f t="shared" si="37"/>
        <v>3678482.2226891862</v>
      </c>
      <c r="AA123" s="137">
        <f t="shared" si="37"/>
        <v>3629733.3824530034</v>
      </c>
      <c r="AB123" s="137">
        <f t="shared" si="37"/>
        <v>0</v>
      </c>
      <c r="AC123" s="137">
        <f t="shared" si="37"/>
        <v>0</v>
      </c>
      <c r="AD123" s="137">
        <f t="shared" si="37"/>
        <v>0</v>
      </c>
      <c r="AE123" s="137">
        <f t="shared" si="37"/>
        <v>0</v>
      </c>
      <c r="AF123" s="137">
        <f t="shared" si="37"/>
        <v>0</v>
      </c>
      <c r="AG123" s="137">
        <f t="shared" si="37"/>
        <v>0</v>
      </c>
      <c r="AH123" s="137">
        <f t="shared" si="37"/>
        <v>0</v>
      </c>
      <c r="AI123" s="137">
        <f t="shared" si="37"/>
        <v>0</v>
      </c>
      <c r="AJ123" s="137">
        <f t="shared" si="37"/>
        <v>0</v>
      </c>
      <c r="AK123" s="137">
        <f t="shared" si="37"/>
        <v>0</v>
      </c>
      <c r="AL123" s="137">
        <f t="shared" si="37"/>
        <v>0</v>
      </c>
      <c r="AM123" s="137">
        <f t="shared" si="37"/>
        <v>0</v>
      </c>
      <c r="AN123" s="137">
        <f t="shared" si="37"/>
        <v>0</v>
      </c>
      <c r="AO123" s="137">
        <f t="shared" si="37"/>
        <v>0</v>
      </c>
      <c r="AP123" s="137">
        <f t="shared" si="37"/>
        <v>0</v>
      </c>
    </row>
    <row r="124" spans="1:42" x14ac:dyDescent="0.2">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row>
    <row r="125" spans="1:42" x14ac:dyDescent="0.2">
      <c r="A125" s="20" t="s">
        <v>57</v>
      </c>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row>
    <row r="126" spans="1:42" x14ac:dyDescent="0.2">
      <c r="A126" s="4" t="s">
        <v>344</v>
      </c>
      <c r="B126" s="119">
        <f>-B76</f>
        <v>-111989777.5</v>
      </c>
      <c r="C126" s="119">
        <f t="array" ref="C126:AP126">0</f>
        <v>0</v>
      </c>
      <c r="D126" s="119">
        <v>0</v>
      </c>
      <c r="E126" s="119">
        <v>0</v>
      </c>
      <c r="F126" s="119">
        <v>0</v>
      </c>
      <c r="G126" s="119">
        <v>0</v>
      </c>
      <c r="H126" s="119">
        <v>0</v>
      </c>
      <c r="I126" s="119">
        <v>0</v>
      </c>
      <c r="J126" s="119">
        <v>0</v>
      </c>
      <c r="K126" s="119">
        <v>0</v>
      </c>
      <c r="L126" s="119">
        <v>0</v>
      </c>
      <c r="M126" s="119">
        <v>0</v>
      </c>
      <c r="N126" s="119">
        <v>0</v>
      </c>
      <c r="O126" s="119">
        <v>0</v>
      </c>
      <c r="P126" s="119">
        <v>0</v>
      </c>
      <c r="Q126" s="119">
        <v>0</v>
      </c>
      <c r="R126" s="119">
        <v>0</v>
      </c>
      <c r="S126" s="119">
        <v>0</v>
      </c>
      <c r="T126" s="119">
        <v>0</v>
      </c>
      <c r="U126" s="119">
        <v>0</v>
      </c>
      <c r="V126" s="119">
        <v>0</v>
      </c>
      <c r="W126" s="119">
        <v>0</v>
      </c>
      <c r="X126" s="119">
        <v>0</v>
      </c>
      <c r="Y126" s="119">
        <v>0</v>
      </c>
      <c r="Z126" s="119">
        <v>0</v>
      </c>
      <c r="AA126" s="119">
        <v>0</v>
      </c>
      <c r="AB126" s="119">
        <v>0</v>
      </c>
      <c r="AC126" s="119">
        <v>0</v>
      </c>
      <c r="AD126" s="119">
        <v>0</v>
      </c>
      <c r="AE126" s="119">
        <v>0</v>
      </c>
      <c r="AF126" s="119">
        <v>0</v>
      </c>
      <c r="AG126" s="119">
        <v>0</v>
      </c>
      <c r="AH126" s="119">
        <v>0</v>
      </c>
      <c r="AI126" s="119">
        <v>0</v>
      </c>
      <c r="AJ126" s="119">
        <v>0</v>
      </c>
      <c r="AK126" s="119">
        <v>0</v>
      </c>
      <c r="AL126" s="119">
        <v>0</v>
      </c>
      <c r="AM126" s="119">
        <v>0</v>
      </c>
      <c r="AN126" s="119">
        <v>0</v>
      </c>
      <c r="AO126" s="119">
        <v>0</v>
      </c>
      <c r="AP126" s="119">
        <v>0</v>
      </c>
    </row>
    <row r="127" spans="1:42" x14ac:dyDescent="0.2">
      <c r="A127" s="4" t="s">
        <v>280</v>
      </c>
      <c r="B127" s="119">
        <f t="shared" ref="B127:AP127" si="38">B23</f>
        <v>0</v>
      </c>
      <c r="C127" s="119">
        <f t="shared" si="38"/>
        <v>0</v>
      </c>
      <c r="D127" s="119">
        <f t="shared" si="38"/>
        <v>0</v>
      </c>
      <c r="E127" s="119">
        <f t="shared" si="38"/>
        <v>0</v>
      </c>
      <c r="F127" s="119">
        <f t="shared" si="38"/>
        <v>0</v>
      </c>
      <c r="G127" s="119">
        <f t="shared" si="38"/>
        <v>0</v>
      </c>
      <c r="H127" s="119">
        <f t="shared" si="38"/>
        <v>0</v>
      </c>
      <c r="I127" s="119">
        <f t="shared" si="38"/>
        <v>0</v>
      </c>
      <c r="J127" s="119">
        <f t="shared" si="38"/>
        <v>0</v>
      </c>
      <c r="K127" s="119">
        <f t="shared" si="38"/>
        <v>0</v>
      </c>
      <c r="L127" s="119">
        <f t="shared" si="38"/>
        <v>0</v>
      </c>
      <c r="M127" s="119">
        <f t="shared" si="38"/>
        <v>0</v>
      </c>
      <c r="N127" s="119">
        <f t="shared" si="38"/>
        <v>0</v>
      </c>
      <c r="O127" s="119">
        <f t="shared" si="38"/>
        <v>0</v>
      </c>
      <c r="P127" s="119">
        <f t="shared" si="38"/>
        <v>0</v>
      </c>
      <c r="Q127" s="119">
        <f t="shared" si="38"/>
        <v>0</v>
      </c>
      <c r="R127" s="119">
        <f t="shared" si="38"/>
        <v>0</v>
      </c>
      <c r="S127" s="119">
        <f t="shared" si="38"/>
        <v>0</v>
      </c>
      <c r="T127" s="119">
        <f t="shared" si="38"/>
        <v>0</v>
      </c>
      <c r="U127" s="119">
        <f t="shared" si="38"/>
        <v>0</v>
      </c>
      <c r="V127" s="119">
        <f t="shared" si="38"/>
        <v>0</v>
      </c>
      <c r="W127" s="119">
        <f t="shared" si="38"/>
        <v>0</v>
      </c>
      <c r="X127" s="119">
        <f t="shared" si="38"/>
        <v>0</v>
      </c>
      <c r="Y127" s="119">
        <f t="shared" si="38"/>
        <v>0</v>
      </c>
      <c r="Z127" s="119">
        <f t="shared" si="38"/>
        <v>0</v>
      </c>
      <c r="AA127" s="119">
        <f t="shared" si="38"/>
        <v>0</v>
      </c>
      <c r="AB127" s="119">
        <f t="shared" si="38"/>
        <v>0</v>
      </c>
      <c r="AC127" s="119">
        <f t="shared" si="38"/>
        <v>0</v>
      </c>
      <c r="AD127" s="119">
        <f t="shared" si="38"/>
        <v>0</v>
      </c>
      <c r="AE127" s="119">
        <f t="shared" si="38"/>
        <v>0</v>
      </c>
      <c r="AF127" s="119">
        <f t="shared" si="38"/>
        <v>0</v>
      </c>
      <c r="AG127" s="119">
        <f t="shared" si="38"/>
        <v>0</v>
      </c>
      <c r="AH127" s="119">
        <f t="shared" si="38"/>
        <v>0</v>
      </c>
      <c r="AI127" s="119">
        <f t="shared" si="38"/>
        <v>0</v>
      </c>
      <c r="AJ127" s="119">
        <f t="shared" si="38"/>
        <v>0</v>
      </c>
      <c r="AK127" s="119">
        <f t="shared" si="38"/>
        <v>0</v>
      </c>
      <c r="AL127" s="119">
        <f t="shared" si="38"/>
        <v>0</v>
      </c>
      <c r="AM127" s="119">
        <f t="shared" si="38"/>
        <v>0</v>
      </c>
      <c r="AN127" s="119">
        <f t="shared" si="38"/>
        <v>0</v>
      </c>
      <c r="AO127" s="119">
        <f t="shared" si="38"/>
        <v>0</v>
      </c>
      <c r="AP127" s="119">
        <f t="shared" si="38"/>
        <v>0</v>
      </c>
    </row>
    <row r="128" spans="1:42" x14ac:dyDescent="0.2">
      <c r="A128" s="30" t="s">
        <v>13</v>
      </c>
      <c r="B128" s="137">
        <f>SUM(B126:B127)</f>
        <v>-111989777.5</v>
      </c>
      <c r="C128" s="137">
        <f>C127</f>
        <v>0</v>
      </c>
      <c r="D128" s="137">
        <f t="shared" ref="D128:AP128" si="39">D127</f>
        <v>0</v>
      </c>
      <c r="E128" s="137">
        <f t="shared" si="39"/>
        <v>0</v>
      </c>
      <c r="F128" s="137">
        <f t="shared" si="39"/>
        <v>0</v>
      </c>
      <c r="G128" s="137">
        <f t="shared" si="39"/>
        <v>0</v>
      </c>
      <c r="H128" s="137">
        <f t="shared" si="39"/>
        <v>0</v>
      </c>
      <c r="I128" s="137">
        <f t="shared" si="39"/>
        <v>0</v>
      </c>
      <c r="J128" s="137">
        <f t="shared" si="39"/>
        <v>0</v>
      </c>
      <c r="K128" s="137">
        <f t="shared" si="39"/>
        <v>0</v>
      </c>
      <c r="L128" s="137">
        <f t="shared" si="39"/>
        <v>0</v>
      </c>
      <c r="M128" s="137">
        <f t="shared" si="39"/>
        <v>0</v>
      </c>
      <c r="N128" s="137">
        <f t="shared" si="39"/>
        <v>0</v>
      </c>
      <c r="O128" s="137">
        <f t="shared" si="39"/>
        <v>0</v>
      </c>
      <c r="P128" s="137">
        <f t="shared" si="39"/>
        <v>0</v>
      </c>
      <c r="Q128" s="137">
        <f t="shared" si="39"/>
        <v>0</v>
      </c>
      <c r="R128" s="137">
        <f t="shared" si="39"/>
        <v>0</v>
      </c>
      <c r="S128" s="137">
        <f t="shared" si="39"/>
        <v>0</v>
      </c>
      <c r="T128" s="137">
        <f t="shared" si="39"/>
        <v>0</v>
      </c>
      <c r="U128" s="137">
        <f t="shared" si="39"/>
        <v>0</v>
      </c>
      <c r="V128" s="137">
        <f t="shared" si="39"/>
        <v>0</v>
      </c>
      <c r="W128" s="137">
        <f t="shared" si="39"/>
        <v>0</v>
      </c>
      <c r="X128" s="137">
        <f t="shared" si="39"/>
        <v>0</v>
      </c>
      <c r="Y128" s="137">
        <f t="shared" si="39"/>
        <v>0</v>
      </c>
      <c r="Z128" s="137">
        <f t="shared" si="39"/>
        <v>0</v>
      </c>
      <c r="AA128" s="137">
        <f t="shared" si="39"/>
        <v>0</v>
      </c>
      <c r="AB128" s="137">
        <f t="shared" si="39"/>
        <v>0</v>
      </c>
      <c r="AC128" s="137">
        <f t="shared" si="39"/>
        <v>0</v>
      </c>
      <c r="AD128" s="137">
        <f t="shared" si="39"/>
        <v>0</v>
      </c>
      <c r="AE128" s="137">
        <f t="shared" si="39"/>
        <v>0</v>
      </c>
      <c r="AF128" s="137">
        <f t="shared" si="39"/>
        <v>0</v>
      </c>
      <c r="AG128" s="137">
        <f t="shared" si="39"/>
        <v>0</v>
      </c>
      <c r="AH128" s="137">
        <f t="shared" si="39"/>
        <v>0</v>
      </c>
      <c r="AI128" s="137">
        <f t="shared" si="39"/>
        <v>0</v>
      </c>
      <c r="AJ128" s="137">
        <f t="shared" si="39"/>
        <v>0</v>
      </c>
      <c r="AK128" s="137">
        <f t="shared" si="39"/>
        <v>0</v>
      </c>
      <c r="AL128" s="137">
        <f t="shared" si="39"/>
        <v>0</v>
      </c>
      <c r="AM128" s="137">
        <f t="shared" si="39"/>
        <v>0</v>
      </c>
      <c r="AN128" s="137">
        <f t="shared" si="39"/>
        <v>0</v>
      </c>
      <c r="AO128" s="137">
        <f t="shared" si="39"/>
        <v>0</v>
      </c>
      <c r="AP128" s="137">
        <f t="shared" si="39"/>
        <v>0</v>
      </c>
    </row>
    <row r="129" spans="1:42" x14ac:dyDescent="0.2">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row>
    <row r="130" spans="1:42" x14ac:dyDescent="0.2">
      <c r="A130" s="20" t="s">
        <v>58</v>
      </c>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row>
    <row r="131" spans="1:42" x14ac:dyDescent="0.2">
      <c r="A131" s="4" t="s">
        <v>344</v>
      </c>
      <c r="B131" s="119">
        <f>B76</f>
        <v>111989777.5</v>
      </c>
      <c r="C131" s="119">
        <f t="array" ref="C131:AP131">0</f>
        <v>0</v>
      </c>
      <c r="D131" s="119">
        <v>0</v>
      </c>
      <c r="E131" s="119">
        <v>0</v>
      </c>
      <c r="F131" s="119">
        <v>0</v>
      </c>
      <c r="G131" s="119">
        <v>0</v>
      </c>
      <c r="H131" s="119">
        <v>0</v>
      </c>
      <c r="I131" s="119">
        <v>0</v>
      </c>
      <c r="J131" s="119">
        <v>0</v>
      </c>
      <c r="K131" s="119">
        <v>0</v>
      </c>
      <c r="L131" s="119">
        <v>0</v>
      </c>
      <c r="M131" s="119">
        <v>0</v>
      </c>
      <c r="N131" s="119">
        <v>0</v>
      </c>
      <c r="O131" s="119">
        <v>0</v>
      </c>
      <c r="P131" s="119">
        <v>0</v>
      </c>
      <c r="Q131" s="119">
        <v>0</v>
      </c>
      <c r="R131" s="119">
        <v>0</v>
      </c>
      <c r="S131" s="119">
        <v>0</v>
      </c>
      <c r="T131" s="119">
        <v>0</v>
      </c>
      <c r="U131" s="119">
        <v>0</v>
      </c>
      <c r="V131" s="119">
        <v>0</v>
      </c>
      <c r="W131" s="119">
        <v>0</v>
      </c>
      <c r="X131" s="119">
        <v>0</v>
      </c>
      <c r="Y131" s="119">
        <v>0</v>
      </c>
      <c r="Z131" s="119">
        <v>0</v>
      </c>
      <c r="AA131" s="119">
        <v>0</v>
      </c>
      <c r="AB131" s="119">
        <v>0</v>
      </c>
      <c r="AC131" s="119">
        <v>0</v>
      </c>
      <c r="AD131" s="119">
        <v>0</v>
      </c>
      <c r="AE131" s="119">
        <v>0</v>
      </c>
      <c r="AF131" s="119">
        <v>0</v>
      </c>
      <c r="AG131" s="119">
        <v>0</v>
      </c>
      <c r="AH131" s="119">
        <v>0</v>
      </c>
      <c r="AI131" s="119">
        <v>0</v>
      </c>
      <c r="AJ131" s="119">
        <v>0</v>
      </c>
      <c r="AK131" s="119">
        <v>0</v>
      </c>
      <c r="AL131" s="119">
        <v>0</v>
      </c>
      <c r="AM131" s="119">
        <v>0</v>
      </c>
      <c r="AN131" s="119">
        <v>0</v>
      </c>
      <c r="AO131" s="119">
        <v>0</v>
      </c>
      <c r="AP131" s="119">
        <v>0</v>
      </c>
    </row>
    <row r="132" spans="1:42" x14ac:dyDescent="0.2">
      <c r="A132" s="30" t="s">
        <v>13</v>
      </c>
      <c r="B132" s="137">
        <f>SUM(B131:B131)</f>
        <v>111989777.5</v>
      </c>
      <c r="C132" s="137">
        <f t="shared" ref="C132:AP132" si="40">SUM(C131:C131)</f>
        <v>0</v>
      </c>
      <c r="D132" s="137">
        <f t="shared" si="40"/>
        <v>0</v>
      </c>
      <c r="E132" s="137">
        <f t="shared" si="40"/>
        <v>0</v>
      </c>
      <c r="F132" s="137">
        <f t="shared" si="40"/>
        <v>0</v>
      </c>
      <c r="G132" s="137">
        <f t="shared" si="40"/>
        <v>0</v>
      </c>
      <c r="H132" s="137">
        <f t="shared" si="40"/>
        <v>0</v>
      </c>
      <c r="I132" s="137">
        <f t="shared" si="40"/>
        <v>0</v>
      </c>
      <c r="J132" s="137">
        <f t="shared" si="40"/>
        <v>0</v>
      </c>
      <c r="K132" s="137">
        <f t="shared" si="40"/>
        <v>0</v>
      </c>
      <c r="L132" s="137">
        <f t="shared" si="40"/>
        <v>0</v>
      </c>
      <c r="M132" s="137">
        <f t="shared" si="40"/>
        <v>0</v>
      </c>
      <c r="N132" s="137">
        <f t="shared" si="40"/>
        <v>0</v>
      </c>
      <c r="O132" s="137">
        <f t="shared" si="40"/>
        <v>0</v>
      </c>
      <c r="P132" s="137">
        <f t="shared" si="40"/>
        <v>0</v>
      </c>
      <c r="Q132" s="137">
        <f t="shared" si="40"/>
        <v>0</v>
      </c>
      <c r="R132" s="137">
        <f t="shared" si="40"/>
        <v>0</v>
      </c>
      <c r="S132" s="137">
        <f t="shared" si="40"/>
        <v>0</v>
      </c>
      <c r="T132" s="137">
        <f t="shared" si="40"/>
        <v>0</v>
      </c>
      <c r="U132" s="137">
        <f t="shared" si="40"/>
        <v>0</v>
      </c>
      <c r="V132" s="137">
        <f t="shared" si="40"/>
        <v>0</v>
      </c>
      <c r="W132" s="137">
        <f t="shared" si="40"/>
        <v>0</v>
      </c>
      <c r="X132" s="137">
        <f t="shared" si="40"/>
        <v>0</v>
      </c>
      <c r="Y132" s="137">
        <f t="shared" si="40"/>
        <v>0</v>
      </c>
      <c r="Z132" s="137">
        <f t="shared" si="40"/>
        <v>0</v>
      </c>
      <c r="AA132" s="137">
        <f t="shared" si="40"/>
        <v>0</v>
      </c>
      <c r="AB132" s="137">
        <f t="shared" si="40"/>
        <v>0</v>
      </c>
      <c r="AC132" s="137">
        <f t="shared" si="40"/>
        <v>0</v>
      </c>
      <c r="AD132" s="137">
        <f t="shared" si="40"/>
        <v>0</v>
      </c>
      <c r="AE132" s="137">
        <f t="shared" si="40"/>
        <v>0</v>
      </c>
      <c r="AF132" s="137">
        <f t="shared" si="40"/>
        <v>0</v>
      </c>
      <c r="AG132" s="137">
        <f t="shared" si="40"/>
        <v>0</v>
      </c>
      <c r="AH132" s="137">
        <f t="shared" si="40"/>
        <v>0</v>
      </c>
      <c r="AI132" s="137">
        <f t="shared" si="40"/>
        <v>0</v>
      </c>
      <c r="AJ132" s="137">
        <f t="shared" si="40"/>
        <v>0</v>
      </c>
      <c r="AK132" s="137">
        <f t="shared" si="40"/>
        <v>0</v>
      </c>
      <c r="AL132" s="137">
        <f t="shared" si="40"/>
        <v>0</v>
      </c>
      <c r="AM132" s="137">
        <f t="shared" si="40"/>
        <v>0</v>
      </c>
      <c r="AN132" s="137">
        <f t="shared" si="40"/>
        <v>0</v>
      </c>
      <c r="AO132" s="137">
        <f t="shared" si="40"/>
        <v>0</v>
      </c>
      <c r="AP132" s="137">
        <f t="shared" si="40"/>
        <v>0</v>
      </c>
    </row>
    <row r="133" spans="1:42" x14ac:dyDescent="0.2">
      <c r="A133" s="30"/>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row>
    <row r="134" spans="1:42" x14ac:dyDescent="0.2">
      <c r="A134" s="206" t="s">
        <v>281</v>
      </c>
      <c r="B134" s="137">
        <f>B123+B128+B132</f>
        <v>0</v>
      </c>
      <c r="C134" s="137">
        <f t="shared" ref="C134:AP134" si="41">C123+C128+C132</f>
        <v>4024942.4526841561</v>
      </c>
      <c r="D134" s="137">
        <f t="shared" si="41"/>
        <v>4000942.8595256046</v>
      </c>
      <c r="E134" s="137">
        <f t="shared" si="41"/>
        <v>3975399.9069920522</v>
      </c>
      <c r="F134" s="137">
        <f t="shared" si="41"/>
        <v>3948294.0110991257</v>
      </c>
      <c r="G134" s="137">
        <f t="shared" si="41"/>
        <v>3919564.6782628396</v>
      </c>
      <c r="H134" s="137">
        <f t="shared" si="41"/>
        <v>3889180.4841596102</v>
      </c>
      <c r="I134" s="137">
        <f t="shared" si="41"/>
        <v>3857109.0520897629</v>
      </c>
      <c r="J134" s="137">
        <f t="shared" si="41"/>
        <v>3823297.0308327745</v>
      </c>
      <c r="K134" s="137">
        <f t="shared" si="41"/>
        <v>3787700.0719821774</v>
      </c>
      <c r="L134" s="137">
        <f t="shared" si="41"/>
        <v>3750282.8067478091</v>
      </c>
      <c r="M134" s="137">
        <f t="shared" si="41"/>
        <v>3710998.8222127454</v>
      </c>
      <c r="N134" s="137">
        <f t="shared" si="41"/>
        <v>3669790.6370319952</v>
      </c>
      <c r="O134" s="137">
        <f t="shared" si="41"/>
        <v>3626619.6765596867</v>
      </c>
      <c r="P134" s="137">
        <f t="shared" si="41"/>
        <v>3581436.2473912146</v>
      </c>
      <c r="Q134" s="137">
        <f t="shared" si="41"/>
        <v>3534179.5113064069</v>
      </c>
      <c r="R134" s="137">
        <f t="shared" si="41"/>
        <v>4250188.2782936571</v>
      </c>
      <c r="S134" s="137">
        <f t="shared" si="41"/>
        <v>4186882.9186342387</v>
      </c>
      <c r="T134" s="137">
        <f t="shared" si="41"/>
        <v>4121364.5986510003</v>
      </c>
      <c r="U134" s="137">
        <f t="shared" si="41"/>
        <v>4053567.6278091995</v>
      </c>
      <c r="V134" s="137">
        <f t="shared" si="41"/>
        <v>3983445.0309801926</v>
      </c>
      <c r="W134" s="137">
        <f t="shared" si="41"/>
        <v>3910928.5184799763</v>
      </c>
      <c r="X134" s="137">
        <f t="shared" si="41"/>
        <v>3835968.4554017596</v>
      </c>
      <c r="Y134" s="137">
        <f t="shared" si="41"/>
        <v>3758503.8302257825</v>
      </c>
      <c r="Z134" s="137">
        <f t="shared" si="41"/>
        <v>3678482.2226891862</v>
      </c>
      <c r="AA134" s="137">
        <f t="shared" si="41"/>
        <v>3629733.3824530034</v>
      </c>
      <c r="AB134" s="137">
        <f t="shared" si="41"/>
        <v>0</v>
      </c>
      <c r="AC134" s="137">
        <f t="shared" si="41"/>
        <v>0</v>
      </c>
      <c r="AD134" s="137">
        <f t="shared" si="41"/>
        <v>0</v>
      </c>
      <c r="AE134" s="137">
        <f t="shared" si="41"/>
        <v>0</v>
      </c>
      <c r="AF134" s="137">
        <f t="shared" si="41"/>
        <v>0</v>
      </c>
      <c r="AG134" s="137">
        <f t="shared" si="41"/>
        <v>0</v>
      </c>
      <c r="AH134" s="137">
        <f t="shared" si="41"/>
        <v>0</v>
      </c>
      <c r="AI134" s="137">
        <f t="shared" si="41"/>
        <v>0</v>
      </c>
      <c r="AJ134" s="137">
        <f t="shared" si="41"/>
        <v>0</v>
      </c>
      <c r="AK134" s="137">
        <f t="shared" si="41"/>
        <v>0</v>
      </c>
      <c r="AL134" s="137">
        <f t="shared" si="41"/>
        <v>0</v>
      </c>
      <c r="AM134" s="137">
        <f t="shared" si="41"/>
        <v>0</v>
      </c>
      <c r="AN134" s="137">
        <f t="shared" si="41"/>
        <v>0</v>
      </c>
      <c r="AO134" s="137">
        <f t="shared" si="41"/>
        <v>0</v>
      </c>
      <c r="AP134" s="137">
        <f t="shared" si="41"/>
        <v>0</v>
      </c>
    </row>
    <row r="135" spans="1:42" x14ac:dyDescent="0.2">
      <c r="A135" s="20"/>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c r="AH135" s="119"/>
      <c r="AI135" s="119"/>
      <c r="AJ135" s="119"/>
      <c r="AK135" s="119"/>
      <c r="AL135" s="119"/>
      <c r="AM135" s="119"/>
      <c r="AN135" s="119"/>
      <c r="AO135" s="119"/>
      <c r="AP135" s="119"/>
    </row>
    <row r="136" spans="1:42" x14ac:dyDescent="0.2">
      <c r="A136" s="286" t="s">
        <v>308</v>
      </c>
      <c r="B136" s="287"/>
      <c r="C136" s="287"/>
      <c r="D136" s="287"/>
      <c r="E136" s="28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287"/>
      <c r="AC136" s="287"/>
      <c r="AD136" s="287"/>
      <c r="AE136" s="287"/>
      <c r="AF136" s="287"/>
      <c r="AG136" s="287"/>
      <c r="AH136" s="287"/>
      <c r="AI136" s="287"/>
      <c r="AJ136" s="287"/>
      <c r="AK136" s="287"/>
      <c r="AL136" s="287"/>
      <c r="AM136" s="287"/>
      <c r="AN136" s="287"/>
      <c r="AO136" s="287"/>
      <c r="AP136" s="287"/>
    </row>
    <row r="137" spans="1:42" x14ac:dyDescent="0.2">
      <c r="A137" s="20" t="s">
        <v>299</v>
      </c>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c r="AF137" s="119"/>
      <c r="AG137" s="119"/>
      <c r="AH137" s="119"/>
      <c r="AI137" s="119"/>
      <c r="AJ137" s="119"/>
      <c r="AK137" s="119"/>
      <c r="AL137" s="119"/>
      <c r="AM137" s="119"/>
      <c r="AN137" s="119"/>
      <c r="AO137" s="119"/>
      <c r="AP137" s="119"/>
    </row>
    <row r="138" spans="1:42" x14ac:dyDescent="0.2">
      <c r="A138" s="18" t="s">
        <v>271</v>
      </c>
      <c r="B138" s="119">
        <f>-B113</f>
        <v>-2762471.2263420783</v>
      </c>
      <c r="C138" s="119">
        <v>0</v>
      </c>
      <c r="D138" s="119">
        <v>0</v>
      </c>
      <c r="E138" s="119">
        <v>0</v>
      </c>
      <c r="F138" s="119">
        <v>0</v>
      </c>
      <c r="G138" s="119">
        <v>0</v>
      </c>
      <c r="H138" s="119">
        <v>0</v>
      </c>
      <c r="I138" s="119">
        <v>0</v>
      </c>
      <c r="J138" s="119">
        <v>0</v>
      </c>
      <c r="K138" s="119">
        <v>0</v>
      </c>
      <c r="L138" s="119">
        <v>0</v>
      </c>
      <c r="M138" s="119">
        <v>0</v>
      </c>
      <c r="N138" s="119">
        <v>0</v>
      </c>
      <c r="O138" s="119">
        <v>0</v>
      </c>
      <c r="P138" s="119">
        <v>0</v>
      </c>
      <c r="Q138" s="119">
        <v>0</v>
      </c>
      <c r="R138" s="119">
        <v>0</v>
      </c>
      <c r="S138" s="119">
        <v>0</v>
      </c>
      <c r="T138" s="119">
        <v>0</v>
      </c>
      <c r="U138" s="119">
        <v>0</v>
      </c>
      <c r="V138" s="119">
        <v>0</v>
      </c>
      <c r="W138" s="119">
        <v>0</v>
      </c>
      <c r="X138" s="119">
        <v>0</v>
      </c>
      <c r="Y138" s="119">
        <v>0</v>
      </c>
      <c r="Z138" s="119">
        <v>0</v>
      </c>
      <c r="AA138" s="119">
        <v>0</v>
      </c>
      <c r="AB138" s="119">
        <v>0</v>
      </c>
      <c r="AC138" s="119">
        <v>0</v>
      </c>
      <c r="AD138" s="119">
        <v>0</v>
      </c>
      <c r="AE138" s="119">
        <v>0</v>
      </c>
      <c r="AF138" s="119">
        <v>0</v>
      </c>
      <c r="AG138" s="119">
        <v>0</v>
      </c>
      <c r="AH138" s="119">
        <v>0</v>
      </c>
      <c r="AI138" s="119">
        <v>0</v>
      </c>
      <c r="AJ138" s="119">
        <v>0</v>
      </c>
      <c r="AK138" s="119">
        <v>0</v>
      </c>
      <c r="AL138" s="119">
        <v>0</v>
      </c>
      <c r="AM138" s="119">
        <v>0</v>
      </c>
      <c r="AN138" s="119">
        <v>0</v>
      </c>
      <c r="AO138" s="119">
        <v>0</v>
      </c>
      <c r="AP138" s="119">
        <v>0</v>
      </c>
    </row>
    <row r="139" spans="1:42" x14ac:dyDescent="0.2">
      <c r="A139" s="18" t="s">
        <v>309</v>
      </c>
      <c r="B139" s="119">
        <f>Inputs!C62</f>
        <v>3194940</v>
      </c>
      <c r="C139" s="119">
        <v>0</v>
      </c>
      <c r="D139" s="119">
        <v>0</v>
      </c>
      <c r="E139" s="119">
        <v>0</v>
      </c>
      <c r="F139" s="119">
        <v>0</v>
      </c>
      <c r="G139" s="119">
        <v>0</v>
      </c>
      <c r="H139" s="119">
        <v>0</v>
      </c>
      <c r="I139" s="119">
        <v>0</v>
      </c>
      <c r="J139" s="119">
        <v>0</v>
      </c>
      <c r="K139" s="119">
        <v>0</v>
      </c>
      <c r="L139" s="119">
        <v>0</v>
      </c>
      <c r="M139" s="119">
        <v>0</v>
      </c>
      <c r="N139" s="119">
        <v>0</v>
      </c>
      <c r="O139" s="119">
        <v>0</v>
      </c>
      <c r="P139" s="119">
        <v>0</v>
      </c>
      <c r="Q139" s="119">
        <v>0</v>
      </c>
      <c r="R139" s="119">
        <v>0</v>
      </c>
      <c r="S139" s="119">
        <v>0</v>
      </c>
      <c r="T139" s="119">
        <v>0</v>
      </c>
      <c r="U139" s="119">
        <v>0</v>
      </c>
      <c r="V139" s="119">
        <v>0</v>
      </c>
      <c r="W139" s="119">
        <v>0</v>
      </c>
      <c r="X139" s="119">
        <v>0</v>
      </c>
      <c r="Y139" s="119">
        <v>0</v>
      </c>
      <c r="Z139" s="119">
        <v>0</v>
      </c>
      <c r="AA139" s="119">
        <v>0</v>
      </c>
      <c r="AB139" s="119">
        <v>0</v>
      </c>
      <c r="AC139" s="119">
        <v>0</v>
      </c>
      <c r="AD139" s="119">
        <v>0</v>
      </c>
      <c r="AE139" s="119">
        <v>0</v>
      </c>
      <c r="AF139" s="119">
        <v>0</v>
      </c>
      <c r="AG139" s="119">
        <v>0</v>
      </c>
      <c r="AH139" s="119">
        <v>0</v>
      </c>
      <c r="AI139" s="119">
        <v>0</v>
      </c>
      <c r="AJ139" s="119">
        <v>0</v>
      </c>
      <c r="AK139" s="119">
        <v>0</v>
      </c>
      <c r="AL139" s="119">
        <v>0</v>
      </c>
      <c r="AM139" s="119">
        <v>0</v>
      </c>
      <c r="AN139" s="119">
        <v>0</v>
      </c>
      <c r="AO139" s="119">
        <v>0</v>
      </c>
      <c r="AP139" s="119">
        <v>0</v>
      </c>
    </row>
    <row r="140" spans="1:42" x14ac:dyDescent="0.2">
      <c r="A140" s="18" t="s">
        <v>310</v>
      </c>
      <c r="B140" s="119">
        <f t="shared" ref="B140:AP140" si="42">B107-B675-B707-B739</f>
        <v>0</v>
      </c>
      <c r="C140" s="119">
        <f t="shared" si="42"/>
        <v>0</v>
      </c>
      <c r="D140" s="119">
        <f t="shared" si="42"/>
        <v>0</v>
      </c>
      <c r="E140" s="119">
        <f t="shared" si="42"/>
        <v>0</v>
      </c>
      <c r="F140" s="119">
        <f t="shared" si="42"/>
        <v>0</v>
      </c>
      <c r="G140" s="119">
        <f t="shared" si="42"/>
        <v>0</v>
      </c>
      <c r="H140" s="119">
        <f t="shared" si="42"/>
        <v>0</v>
      </c>
      <c r="I140" s="119">
        <f t="shared" si="42"/>
        <v>0</v>
      </c>
      <c r="J140" s="119">
        <f t="shared" si="42"/>
        <v>0</v>
      </c>
      <c r="K140" s="119">
        <f t="shared" si="42"/>
        <v>0</v>
      </c>
      <c r="L140" s="119">
        <f t="shared" si="42"/>
        <v>0</v>
      </c>
      <c r="M140" s="119">
        <f t="shared" si="42"/>
        <v>0</v>
      </c>
      <c r="N140" s="119">
        <f t="shared" si="42"/>
        <v>0</v>
      </c>
      <c r="O140" s="119">
        <f t="shared" si="42"/>
        <v>0</v>
      </c>
      <c r="P140" s="119">
        <f t="shared" si="42"/>
        <v>0</v>
      </c>
      <c r="Q140" s="119">
        <f t="shared" si="42"/>
        <v>0</v>
      </c>
      <c r="R140" s="119">
        <f t="shared" si="42"/>
        <v>0</v>
      </c>
      <c r="S140" s="119">
        <f t="shared" si="42"/>
        <v>0</v>
      </c>
      <c r="T140" s="119">
        <f t="shared" si="42"/>
        <v>0</v>
      </c>
      <c r="U140" s="119">
        <f t="shared" si="42"/>
        <v>0</v>
      </c>
      <c r="V140" s="119">
        <f t="shared" si="42"/>
        <v>0</v>
      </c>
      <c r="W140" s="119">
        <f t="shared" si="42"/>
        <v>0</v>
      </c>
      <c r="X140" s="119">
        <f t="shared" si="42"/>
        <v>0</v>
      </c>
      <c r="Y140" s="119">
        <f t="shared" si="42"/>
        <v>0</v>
      </c>
      <c r="Z140" s="119">
        <f t="shared" si="42"/>
        <v>0</v>
      </c>
      <c r="AA140" s="119">
        <f t="shared" si="42"/>
        <v>0</v>
      </c>
      <c r="AB140" s="119">
        <f t="shared" si="42"/>
        <v>0</v>
      </c>
      <c r="AC140" s="119">
        <f t="shared" si="42"/>
        <v>0</v>
      </c>
      <c r="AD140" s="119">
        <f t="shared" si="42"/>
        <v>0</v>
      </c>
      <c r="AE140" s="119">
        <f t="shared" si="42"/>
        <v>0</v>
      </c>
      <c r="AF140" s="119">
        <f t="shared" si="42"/>
        <v>0</v>
      </c>
      <c r="AG140" s="119">
        <f t="shared" si="42"/>
        <v>0</v>
      </c>
      <c r="AH140" s="119">
        <f t="shared" si="42"/>
        <v>0</v>
      </c>
      <c r="AI140" s="119">
        <f t="shared" si="42"/>
        <v>0</v>
      </c>
      <c r="AJ140" s="119">
        <f t="shared" si="42"/>
        <v>0</v>
      </c>
      <c r="AK140" s="119">
        <f t="shared" si="42"/>
        <v>0</v>
      </c>
      <c r="AL140" s="119">
        <f t="shared" si="42"/>
        <v>0</v>
      </c>
      <c r="AM140" s="119">
        <f t="shared" si="42"/>
        <v>0</v>
      </c>
      <c r="AN140" s="119">
        <f t="shared" si="42"/>
        <v>0</v>
      </c>
      <c r="AO140" s="119">
        <f t="shared" si="42"/>
        <v>0</v>
      </c>
      <c r="AP140" s="119">
        <f t="shared" si="42"/>
        <v>0</v>
      </c>
    </row>
    <row r="141" spans="1:42" x14ac:dyDescent="0.2">
      <c r="A141" s="18" t="s">
        <v>311</v>
      </c>
      <c r="B141" s="119">
        <f>-B657</f>
        <v>0</v>
      </c>
      <c r="C141" s="119">
        <f t="shared" ref="C141:AP141" si="43">-C657</f>
        <v>0</v>
      </c>
      <c r="D141" s="119">
        <f t="shared" si="43"/>
        <v>0</v>
      </c>
      <c r="E141" s="119">
        <f t="shared" si="43"/>
        <v>0</v>
      </c>
      <c r="F141" s="119">
        <f t="shared" si="43"/>
        <v>0</v>
      </c>
      <c r="G141" s="119">
        <f t="shared" si="43"/>
        <v>0</v>
      </c>
      <c r="H141" s="119">
        <f t="shared" si="43"/>
        <v>0</v>
      </c>
      <c r="I141" s="119">
        <f t="shared" si="43"/>
        <v>0</v>
      </c>
      <c r="J141" s="119">
        <f t="shared" si="43"/>
        <v>0</v>
      </c>
      <c r="K141" s="119">
        <f t="shared" si="43"/>
        <v>0</v>
      </c>
      <c r="L141" s="119">
        <f t="shared" si="43"/>
        <v>0</v>
      </c>
      <c r="M141" s="119">
        <f t="shared" si="43"/>
        <v>0</v>
      </c>
      <c r="N141" s="119">
        <f t="shared" si="43"/>
        <v>0</v>
      </c>
      <c r="O141" s="119">
        <f t="shared" si="43"/>
        <v>0</v>
      </c>
      <c r="P141" s="119">
        <f t="shared" si="43"/>
        <v>0</v>
      </c>
      <c r="Q141" s="119">
        <f t="shared" si="43"/>
        <v>0</v>
      </c>
      <c r="R141" s="119">
        <f t="shared" si="43"/>
        <v>0</v>
      </c>
      <c r="S141" s="119">
        <f t="shared" si="43"/>
        <v>0</v>
      </c>
      <c r="T141" s="119">
        <f t="shared" si="43"/>
        <v>0</v>
      </c>
      <c r="U141" s="119">
        <f t="shared" si="43"/>
        <v>0</v>
      </c>
      <c r="V141" s="119">
        <f t="shared" si="43"/>
        <v>0</v>
      </c>
      <c r="W141" s="119">
        <f t="shared" si="43"/>
        <v>0</v>
      </c>
      <c r="X141" s="119">
        <f t="shared" si="43"/>
        <v>0</v>
      </c>
      <c r="Y141" s="119">
        <f t="shared" si="43"/>
        <v>0</v>
      </c>
      <c r="Z141" s="119">
        <f t="shared" si="43"/>
        <v>0</v>
      </c>
      <c r="AA141" s="119">
        <f t="shared" si="43"/>
        <v>1356544.4621869416</v>
      </c>
      <c r="AB141" s="119">
        <f t="shared" si="43"/>
        <v>0</v>
      </c>
      <c r="AC141" s="119">
        <f t="shared" si="43"/>
        <v>0</v>
      </c>
      <c r="AD141" s="119">
        <f t="shared" si="43"/>
        <v>0</v>
      </c>
      <c r="AE141" s="119">
        <f t="shared" si="43"/>
        <v>0</v>
      </c>
      <c r="AF141" s="119">
        <f t="shared" si="43"/>
        <v>0</v>
      </c>
      <c r="AG141" s="119">
        <f t="shared" si="43"/>
        <v>0</v>
      </c>
      <c r="AH141" s="119">
        <f t="shared" si="43"/>
        <v>0</v>
      </c>
      <c r="AI141" s="119">
        <f t="shared" si="43"/>
        <v>0</v>
      </c>
      <c r="AJ141" s="119">
        <f t="shared" si="43"/>
        <v>0</v>
      </c>
      <c r="AK141" s="119">
        <f t="shared" si="43"/>
        <v>0</v>
      </c>
      <c r="AL141" s="119">
        <f t="shared" si="43"/>
        <v>0</v>
      </c>
      <c r="AM141" s="119">
        <f t="shared" si="43"/>
        <v>0</v>
      </c>
      <c r="AN141" s="119">
        <f t="shared" si="43"/>
        <v>0</v>
      </c>
      <c r="AO141" s="119">
        <f t="shared" si="43"/>
        <v>0</v>
      </c>
      <c r="AP141" s="119">
        <f t="shared" si="43"/>
        <v>0</v>
      </c>
    </row>
    <row r="142" spans="1:42" x14ac:dyDescent="0.2">
      <c r="A142" s="18" t="s">
        <v>313</v>
      </c>
      <c r="B142" s="119">
        <f>-B663</f>
        <v>0</v>
      </c>
      <c r="C142" s="119">
        <f t="shared" ref="C142:AP142" si="44">-C663</f>
        <v>0</v>
      </c>
      <c r="D142" s="119">
        <f t="shared" si="44"/>
        <v>0</v>
      </c>
      <c r="E142" s="119">
        <f t="shared" si="44"/>
        <v>0</v>
      </c>
      <c r="F142" s="119">
        <f t="shared" si="44"/>
        <v>0</v>
      </c>
      <c r="G142" s="119">
        <f t="shared" si="44"/>
        <v>0</v>
      </c>
      <c r="H142" s="119">
        <f t="shared" si="44"/>
        <v>0</v>
      </c>
      <c r="I142" s="119">
        <f t="shared" si="44"/>
        <v>0</v>
      </c>
      <c r="J142" s="119">
        <f t="shared" si="44"/>
        <v>0</v>
      </c>
      <c r="K142" s="119">
        <f t="shared" si="44"/>
        <v>0</v>
      </c>
      <c r="L142" s="119">
        <f t="shared" si="44"/>
        <v>0</v>
      </c>
      <c r="M142" s="119">
        <f t="shared" si="44"/>
        <v>0</v>
      </c>
      <c r="N142" s="119">
        <f t="shared" si="44"/>
        <v>0</v>
      </c>
      <c r="O142" s="119">
        <f t="shared" si="44"/>
        <v>0</v>
      </c>
      <c r="P142" s="119">
        <f t="shared" si="44"/>
        <v>0</v>
      </c>
      <c r="Q142" s="119">
        <f t="shared" si="44"/>
        <v>0</v>
      </c>
      <c r="R142" s="119">
        <f t="shared" si="44"/>
        <v>0</v>
      </c>
      <c r="S142" s="119">
        <f t="shared" si="44"/>
        <v>0</v>
      </c>
      <c r="T142" s="119">
        <f t="shared" si="44"/>
        <v>0</v>
      </c>
      <c r="U142" s="119">
        <f t="shared" si="44"/>
        <v>0</v>
      </c>
      <c r="V142" s="119">
        <f t="shared" si="44"/>
        <v>0</v>
      </c>
      <c r="W142" s="119">
        <f t="shared" si="44"/>
        <v>0</v>
      </c>
      <c r="X142" s="119">
        <f t="shared" si="44"/>
        <v>0</v>
      </c>
      <c r="Y142" s="119">
        <f t="shared" si="44"/>
        <v>0</v>
      </c>
      <c r="Z142" s="119">
        <f t="shared" si="44"/>
        <v>0</v>
      </c>
      <c r="AA142" s="119">
        <f t="shared" si="44"/>
        <v>2012471.2263420781</v>
      </c>
      <c r="AB142" s="119">
        <f t="shared" si="44"/>
        <v>0</v>
      </c>
      <c r="AC142" s="119">
        <f t="shared" si="44"/>
        <v>0</v>
      </c>
      <c r="AD142" s="119">
        <f t="shared" si="44"/>
        <v>0</v>
      </c>
      <c r="AE142" s="119">
        <f t="shared" si="44"/>
        <v>0</v>
      </c>
      <c r="AF142" s="119">
        <f t="shared" si="44"/>
        <v>0</v>
      </c>
      <c r="AG142" s="119">
        <f t="shared" si="44"/>
        <v>0</v>
      </c>
      <c r="AH142" s="119">
        <f t="shared" si="44"/>
        <v>0</v>
      </c>
      <c r="AI142" s="119">
        <f t="shared" si="44"/>
        <v>0</v>
      </c>
      <c r="AJ142" s="119">
        <f t="shared" si="44"/>
        <v>0</v>
      </c>
      <c r="AK142" s="119">
        <f t="shared" si="44"/>
        <v>0</v>
      </c>
      <c r="AL142" s="119">
        <f t="shared" si="44"/>
        <v>0</v>
      </c>
      <c r="AM142" s="119">
        <f t="shared" si="44"/>
        <v>0</v>
      </c>
      <c r="AN142" s="119">
        <f t="shared" si="44"/>
        <v>0</v>
      </c>
      <c r="AO142" s="119">
        <f t="shared" si="44"/>
        <v>0</v>
      </c>
      <c r="AP142" s="119">
        <f t="shared" si="44"/>
        <v>0</v>
      </c>
    </row>
    <row r="143" spans="1:42" x14ac:dyDescent="0.2">
      <c r="A143" s="18" t="s">
        <v>312</v>
      </c>
      <c r="B143" s="119">
        <f>B774</f>
        <v>0</v>
      </c>
      <c r="C143" s="119">
        <f t="shared" ref="C143:AP143" si="45">C774</f>
        <v>25155.890329275975</v>
      </c>
      <c r="D143" s="119">
        <f t="shared" si="45"/>
        <v>25155.890329275975</v>
      </c>
      <c r="E143" s="119">
        <f t="shared" si="45"/>
        <v>25155.890329275975</v>
      </c>
      <c r="F143" s="119">
        <f t="shared" si="45"/>
        <v>25155.890329275975</v>
      </c>
      <c r="G143" s="119">
        <f t="shared" si="45"/>
        <v>25155.890329275975</v>
      </c>
      <c r="H143" s="119">
        <f t="shared" si="45"/>
        <v>25155.890329275975</v>
      </c>
      <c r="I143" s="119">
        <f t="shared" si="45"/>
        <v>25155.890329275975</v>
      </c>
      <c r="J143" s="119">
        <f t="shared" si="45"/>
        <v>25155.890329275975</v>
      </c>
      <c r="K143" s="119">
        <f t="shared" si="45"/>
        <v>25155.890329275975</v>
      </c>
      <c r="L143" s="119">
        <f t="shared" si="45"/>
        <v>25155.890329275975</v>
      </c>
      <c r="M143" s="119">
        <f t="shared" si="45"/>
        <v>25155.890329275975</v>
      </c>
      <c r="N143" s="119">
        <f t="shared" si="45"/>
        <v>25155.890329275975</v>
      </c>
      <c r="O143" s="119">
        <f t="shared" si="45"/>
        <v>25155.890329275975</v>
      </c>
      <c r="P143" s="119">
        <f t="shared" si="45"/>
        <v>25155.890329275975</v>
      </c>
      <c r="Q143" s="119">
        <f t="shared" si="45"/>
        <v>25155.890329275975</v>
      </c>
      <c r="R143" s="119">
        <f t="shared" si="45"/>
        <v>25155.890329275975</v>
      </c>
      <c r="S143" s="119">
        <f t="shared" si="45"/>
        <v>25155.890329275975</v>
      </c>
      <c r="T143" s="119">
        <f t="shared" si="45"/>
        <v>25155.890329275975</v>
      </c>
      <c r="U143" s="119">
        <f t="shared" si="45"/>
        <v>25155.890329275975</v>
      </c>
      <c r="V143" s="119">
        <f t="shared" si="45"/>
        <v>25155.890329275975</v>
      </c>
      <c r="W143" s="119">
        <f t="shared" si="45"/>
        <v>25155.890329275975</v>
      </c>
      <c r="X143" s="119">
        <f t="shared" si="45"/>
        <v>25155.890329275975</v>
      </c>
      <c r="Y143" s="119">
        <f t="shared" si="45"/>
        <v>25155.890329275975</v>
      </c>
      <c r="Z143" s="119">
        <f t="shared" si="45"/>
        <v>25155.890329275975</v>
      </c>
      <c r="AA143" s="119">
        <f t="shared" si="45"/>
        <v>25155.890329275975</v>
      </c>
      <c r="AB143" s="119">
        <f t="shared" si="45"/>
        <v>0</v>
      </c>
      <c r="AC143" s="119">
        <f t="shared" si="45"/>
        <v>0</v>
      </c>
      <c r="AD143" s="119">
        <f t="shared" si="45"/>
        <v>0</v>
      </c>
      <c r="AE143" s="119">
        <f t="shared" si="45"/>
        <v>0</v>
      </c>
      <c r="AF143" s="119">
        <f t="shared" si="45"/>
        <v>0</v>
      </c>
      <c r="AG143" s="119">
        <f t="shared" si="45"/>
        <v>0</v>
      </c>
      <c r="AH143" s="119">
        <f t="shared" si="45"/>
        <v>0</v>
      </c>
      <c r="AI143" s="119">
        <f t="shared" si="45"/>
        <v>0</v>
      </c>
      <c r="AJ143" s="119">
        <f t="shared" si="45"/>
        <v>0</v>
      </c>
      <c r="AK143" s="119">
        <f t="shared" si="45"/>
        <v>0</v>
      </c>
      <c r="AL143" s="119">
        <f t="shared" si="45"/>
        <v>0</v>
      </c>
      <c r="AM143" s="119">
        <f t="shared" si="45"/>
        <v>0</v>
      </c>
      <c r="AN143" s="119">
        <f t="shared" si="45"/>
        <v>0</v>
      </c>
      <c r="AO143" s="119">
        <f t="shared" si="45"/>
        <v>0</v>
      </c>
      <c r="AP143" s="119">
        <f t="shared" si="45"/>
        <v>0</v>
      </c>
    </row>
    <row r="144" spans="1:42" x14ac:dyDescent="0.2">
      <c r="A144" s="18" t="s">
        <v>314</v>
      </c>
      <c r="B144" s="119">
        <f t="shared" ref="B144:AP144" si="46">B57</f>
        <v>0</v>
      </c>
      <c r="C144" s="119">
        <f t="shared" si="46"/>
        <v>2000000</v>
      </c>
      <c r="D144" s="119">
        <f t="shared" si="46"/>
        <v>2040000</v>
      </c>
      <c r="E144" s="119">
        <f t="shared" si="46"/>
        <v>2080800</v>
      </c>
      <c r="F144" s="119">
        <f t="shared" si="46"/>
        <v>2122416</v>
      </c>
      <c r="G144" s="119">
        <f t="shared" si="46"/>
        <v>2164864.3199999998</v>
      </c>
      <c r="H144" s="119">
        <f t="shared" si="46"/>
        <v>2208161.6063999999</v>
      </c>
      <c r="I144" s="119">
        <f t="shared" si="46"/>
        <v>2252324.8385280003</v>
      </c>
      <c r="J144" s="119">
        <f t="shared" si="46"/>
        <v>2297371.3352985596</v>
      </c>
      <c r="K144" s="119">
        <f t="shared" si="46"/>
        <v>2343318.762004531</v>
      </c>
      <c r="L144" s="119">
        <f t="shared" si="46"/>
        <v>2390185.1372446218</v>
      </c>
      <c r="M144" s="119">
        <f t="shared" si="46"/>
        <v>2437988.8399895141</v>
      </c>
      <c r="N144" s="119">
        <f t="shared" si="46"/>
        <v>2486748.6167893042</v>
      </c>
      <c r="O144" s="119">
        <f t="shared" si="46"/>
        <v>2536483.5891250907</v>
      </c>
      <c r="P144" s="119">
        <f t="shared" si="46"/>
        <v>2587213.2609075923</v>
      </c>
      <c r="Q144" s="119">
        <f t="shared" si="46"/>
        <v>2638957.5261257445</v>
      </c>
      <c r="R144" s="119">
        <f t="shared" si="46"/>
        <v>2691736.6766482582</v>
      </c>
      <c r="S144" s="119">
        <f t="shared" si="46"/>
        <v>2745571.4101812239</v>
      </c>
      <c r="T144" s="119">
        <f t="shared" si="46"/>
        <v>2800482.838384849</v>
      </c>
      <c r="U144" s="119">
        <f t="shared" si="46"/>
        <v>2856492.4951525456</v>
      </c>
      <c r="V144" s="119">
        <f t="shared" si="46"/>
        <v>2913622.3450555964</v>
      </c>
      <c r="W144" s="119">
        <f t="shared" si="46"/>
        <v>2971894.7919567083</v>
      </c>
      <c r="X144" s="119">
        <f t="shared" si="46"/>
        <v>3031332.6877958425</v>
      </c>
      <c r="Y144" s="119">
        <f t="shared" si="46"/>
        <v>3091959.3415517593</v>
      </c>
      <c r="Z144" s="119">
        <f t="shared" si="46"/>
        <v>3153798.528382794</v>
      </c>
      <c r="AA144" s="119">
        <f t="shared" si="46"/>
        <v>3216874.4989504502</v>
      </c>
      <c r="AB144" s="119">
        <f t="shared" si="46"/>
        <v>0</v>
      </c>
      <c r="AC144" s="119">
        <f t="shared" si="46"/>
        <v>0</v>
      </c>
      <c r="AD144" s="119">
        <f t="shared" si="46"/>
        <v>0</v>
      </c>
      <c r="AE144" s="119">
        <f t="shared" si="46"/>
        <v>0</v>
      </c>
      <c r="AF144" s="119">
        <f t="shared" si="46"/>
        <v>0</v>
      </c>
      <c r="AG144" s="119">
        <f t="shared" si="46"/>
        <v>0</v>
      </c>
      <c r="AH144" s="119">
        <f t="shared" si="46"/>
        <v>0</v>
      </c>
      <c r="AI144" s="119">
        <f t="shared" si="46"/>
        <v>0</v>
      </c>
      <c r="AJ144" s="119">
        <f t="shared" si="46"/>
        <v>0</v>
      </c>
      <c r="AK144" s="119">
        <f t="shared" si="46"/>
        <v>0</v>
      </c>
      <c r="AL144" s="119">
        <f t="shared" si="46"/>
        <v>0</v>
      </c>
      <c r="AM144" s="119">
        <f t="shared" si="46"/>
        <v>0</v>
      </c>
      <c r="AN144" s="119">
        <f t="shared" si="46"/>
        <v>0</v>
      </c>
      <c r="AO144" s="119">
        <f t="shared" si="46"/>
        <v>0</v>
      </c>
      <c r="AP144" s="119">
        <f t="shared" si="46"/>
        <v>0</v>
      </c>
    </row>
    <row r="145" spans="1:42" x14ac:dyDescent="0.2">
      <c r="A145" s="289" t="s">
        <v>336</v>
      </c>
      <c r="B145" s="288">
        <f>SUM(B138:B144)</f>
        <v>432468.7736579217</v>
      </c>
      <c r="C145" s="288">
        <f>SUM(C138:C144)</f>
        <v>2025155.890329276</v>
      </c>
      <c r="D145" s="288">
        <f t="shared" ref="D145:AP145" si="47">SUM(D138:D144)</f>
        <v>2065155.890329276</v>
      </c>
      <c r="E145" s="288">
        <f t="shared" si="47"/>
        <v>2105955.8903292757</v>
      </c>
      <c r="F145" s="288">
        <f t="shared" si="47"/>
        <v>2147571.8903292757</v>
      </c>
      <c r="G145" s="288">
        <f t="shared" si="47"/>
        <v>2190020.2103292756</v>
      </c>
      <c r="H145" s="288">
        <f t="shared" si="47"/>
        <v>2233317.4967292757</v>
      </c>
      <c r="I145" s="288">
        <f t="shared" si="47"/>
        <v>2277480.728857276</v>
      </c>
      <c r="J145" s="288">
        <f t="shared" si="47"/>
        <v>2322527.2256278354</v>
      </c>
      <c r="K145" s="288">
        <f t="shared" si="47"/>
        <v>2368474.6523338067</v>
      </c>
      <c r="L145" s="288">
        <f t="shared" si="47"/>
        <v>2415341.0275738975</v>
      </c>
      <c r="M145" s="288">
        <f t="shared" si="47"/>
        <v>2463144.7303187898</v>
      </c>
      <c r="N145" s="288">
        <f t="shared" si="47"/>
        <v>2511904.5071185799</v>
      </c>
      <c r="O145" s="288">
        <f t="shared" si="47"/>
        <v>2561639.4794543665</v>
      </c>
      <c r="P145" s="288">
        <f t="shared" si="47"/>
        <v>2612369.151236868</v>
      </c>
      <c r="Q145" s="288">
        <f t="shared" si="47"/>
        <v>2664113.4164550202</v>
      </c>
      <c r="R145" s="288">
        <f t="shared" si="47"/>
        <v>2716892.566977534</v>
      </c>
      <c r="S145" s="288">
        <f t="shared" si="47"/>
        <v>2770727.3005104996</v>
      </c>
      <c r="T145" s="288">
        <f t="shared" si="47"/>
        <v>2825638.7287141248</v>
      </c>
      <c r="U145" s="288">
        <f t="shared" si="47"/>
        <v>2881648.3854818214</v>
      </c>
      <c r="V145" s="288">
        <f t="shared" si="47"/>
        <v>2938778.2353848722</v>
      </c>
      <c r="W145" s="288">
        <f t="shared" si="47"/>
        <v>2997050.682285984</v>
      </c>
      <c r="X145" s="288">
        <f t="shared" si="47"/>
        <v>3056488.5781251183</v>
      </c>
      <c r="Y145" s="288">
        <f t="shared" si="47"/>
        <v>3117115.231881035</v>
      </c>
      <c r="Z145" s="288">
        <f t="shared" si="47"/>
        <v>3178954.4187120697</v>
      </c>
      <c r="AA145" s="288">
        <f t="shared" si="47"/>
        <v>6611046.0778087452</v>
      </c>
      <c r="AB145" s="288">
        <f t="shared" si="47"/>
        <v>0</v>
      </c>
      <c r="AC145" s="288">
        <f t="shared" si="47"/>
        <v>0</v>
      </c>
      <c r="AD145" s="288">
        <f t="shared" si="47"/>
        <v>0</v>
      </c>
      <c r="AE145" s="288">
        <f t="shared" si="47"/>
        <v>0</v>
      </c>
      <c r="AF145" s="288">
        <f t="shared" si="47"/>
        <v>0</v>
      </c>
      <c r="AG145" s="288">
        <f t="shared" si="47"/>
        <v>0</v>
      </c>
      <c r="AH145" s="288">
        <f t="shared" si="47"/>
        <v>0</v>
      </c>
      <c r="AI145" s="288">
        <f t="shared" si="47"/>
        <v>0</v>
      </c>
      <c r="AJ145" s="288">
        <f t="shared" si="47"/>
        <v>0</v>
      </c>
      <c r="AK145" s="288">
        <f t="shared" si="47"/>
        <v>0</v>
      </c>
      <c r="AL145" s="288">
        <f t="shared" si="47"/>
        <v>0</v>
      </c>
      <c r="AM145" s="288">
        <f t="shared" si="47"/>
        <v>0</v>
      </c>
      <c r="AN145" s="288">
        <f t="shared" si="47"/>
        <v>0</v>
      </c>
      <c r="AO145" s="288">
        <f t="shared" si="47"/>
        <v>0</v>
      </c>
      <c r="AP145" s="288">
        <f t="shared" si="47"/>
        <v>0</v>
      </c>
    </row>
    <row r="146" spans="1:42" x14ac:dyDescent="0.2">
      <c r="A146" s="87"/>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19"/>
      <c r="AP146" s="119"/>
    </row>
    <row r="147" spans="1:42" x14ac:dyDescent="0.2">
      <c r="A147" s="20" t="s">
        <v>300</v>
      </c>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c r="AF147" s="119"/>
      <c r="AG147" s="119"/>
      <c r="AH147" s="119"/>
      <c r="AI147" s="119"/>
      <c r="AJ147" s="119"/>
      <c r="AK147" s="119"/>
      <c r="AL147" s="119"/>
      <c r="AM147" s="119"/>
      <c r="AN147" s="119"/>
      <c r="AO147" s="119"/>
      <c r="AP147" s="119"/>
    </row>
    <row r="148" spans="1:42" x14ac:dyDescent="0.2">
      <c r="A148" s="18" t="s">
        <v>283</v>
      </c>
      <c r="B148" s="119">
        <f t="shared" ref="B148:AP148" si="48">B145</f>
        <v>432468.7736579217</v>
      </c>
      <c r="C148" s="119">
        <f t="shared" si="48"/>
        <v>2025155.890329276</v>
      </c>
      <c r="D148" s="119">
        <f t="shared" si="48"/>
        <v>2065155.890329276</v>
      </c>
      <c r="E148" s="119">
        <f t="shared" si="48"/>
        <v>2105955.8903292757</v>
      </c>
      <c r="F148" s="119">
        <f t="shared" si="48"/>
        <v>2147571.8903292757</v>
      </c>
      <c r="G148" s="119">
        <f t="shared" si="48"/>
        <v>2190020.2103292756</v>
      </c>
      <c r="H148" s="119">
        <f t="shared" si="48"/>
        <v>2233317.4967292757</v>
      </c>
      <c r="I148" s="119">
        <f t="shared" si="48"/>
        <v>2277480.728857276</v>
      </c>
      <c r="J148" s="119">
        <f t="shared" si="48"/>
        <v>2322527.2256278354</v>
      </c>
      <c r="K148" s="119">
        <f t="shared" si="48"/>
        <v>2368474.6523338067</v>
      </c>
      <c r="L148" s="119">
        <f t="shared" si="48"/>
        <v>2415341.0275738975</v>
      </c>
      <c r="M148" s="119">
        <f t="shared" si="48"/>
        <v>2463144.7303187898</v>
      </c>
      <c r="N148" s="119">
        <f t="shared" si="48"/>
        <v>2511904.5071185799</v>
      </c>
      <c r="O148" s="119">
        <f t="shared" si="48"/>
        <v>2561639.4794543665</v>
      </c>
      <c r="P148" s="119">
        <f t="shared" si="48"/>
        <v>2612369.151236868</v>
      </c>
      <c r="Q148" s="119">
        <f t="shared" si="48"/>
        <v>2664113.4164550202</v>
      </c>
      <c r="R148" s="119">
        <f t="shared" si="48"/>
        <v>2716892.566977534</v>
      </c>
      <c r="S148" s="119">
        <f t="shared" si="48"/>
        <v>2770727.3005104996</v>
      </c>
      <c r="T148" s="119">
        <f t="shared" si="48"/>
        <v>2825638.7287141248</v>
      </c>
      <c r="U148" s="119">
        <f t="shared" si="48"/>
        <v>2881648.3854818214</v>
      </c>
      <c r="V148" s="119">
        <f t="shared" si="48"/>
        <v>2938778.2353848722</v>
      </c>
      <c r="W148" s="119">
        <f t="shared" si="48"/>
        <v>2997050.682285984</v>
      </c>
      <c r="X148" s="119">
        <f t="shared" si="48"/>
        <v>3056488.5781251183</v>
      </c>
      <c r="Y148" s="119">
        <f t="shared" si="48"/>
        <v>3117115.231881035</v>
      </c>
      <c r="Z148" s="119">
        <f t="shared" si="48"/>
        <v>3178954.4187120697</v>
      </c>
      <c r="AA148" s="119">
        <f t="shared" si="48"/>
        <v>6611046.0778087452</v>
      </c>
      <c r="AB148" s="119">
        <f t="shared" si="48"/>
        <v>0</v>
      </c>
      <c r="AC148" s="119">
        <f t="shared" si="48"/>
        <v>0</v>
      </c>
      <c r="AD148" s="119">
        <f t="shared" si="48"/>
        <v>0</v>
      </c>
      <c r="AE148" s="119">
        <f t="shared" si="48"/>
        <v>0</v>
      </c>
      <c r="AF148" s="119">
        <f t="shared" si="48"/>
        <v>0</v>
      </c>
      <c r="AG148" s="119">
        <f t="shared" si="48"/>
        <v>0</v>
      </c>
      <c r="AH148" s="119">
        <f t="shared" si="48"/>
        <v>0</v>
      </c>
      <c r="AI148" s="119">
        <f t="shared" si="48"/>
        <v>0</v>
      </c>
      <c r="AJ148" s="119">
        <f t="shared" si="48"/>
        <v>0</v>
      </c>
      <c r="AK148" s="119">
        <f t="shared" si="48"/>
        <v>0</v>
      </c>
      <c r="AL148" s="119">
        <f t="shared" si="48"/>
        <v>0</v>
      </c>
      <c r="AM148" s="119">
        <f t="shared" si="48"/>
        <v>0</v>
      </c>
      <c r="AN148" s="119">
        <f t="shared" si="48"/>
        <v>0</v>
      </c>
      <c r="AO148" s="119">
        <f t="shared" si="48"/>
        <v>0</v>
      </c>
      <c r="AP148" s="119">
        <f t="shared" si="48"/>
        <v>0</v>
      </c>
    </row>
    <row r="149" spans="1:42" x14ac:dyDescent="0.2">
      <c r="A149" s="18" t="s">
        <v>359</v>
      </c>
      <c r="B149" s="119">
        <f>B228</f>
        <v>0</v>
      </c>
      <c r="C149" s="119">
        <f t="shared" ref="C149:AP149" si="49">C228</f>
        <v>-209012.19063515833</v>
      </c>
      <c r="D149" s="119">
        <f t="shared" si="49"/>
        <v>-211845.00313515827</v>
      </c>
      <c r="E149" s="119">
        <f t="shared" si="49"/>
        <v>-214734.63594765842</v>
      </c>
      <c r="F149" s="119">
        <f t="shared" si="49"/>
        <v>-217682.22958047086</v>
      </c>
      <c r="G149" s="119">
        <f t="shared" si="49"/>
        <v>-220688.94745410368</v>
      </c>
      <c r="H149" s="119">
        <f t="shared" si="49"/>
        <v>-223755.97636257723</v>
      </c>
      <c r="I149" s="119">
        <f t="shared" si="49"/>
        <v>-226884.52694352268</v>
      </c>
      <c r="J149" s="119">
        <f t="shared" si="49"/>
        <v>-230075.83415774695</v>
      </c>
      <c r="K149" s="119">
        <f t="shared" si="49"/>
        <v>-233331.15777845721</v>
      </c>
      <c r="L149" s="119">
        <f t="shared" si="49"/>
        <v>-236651.78289033807</v>
      </c>
      <c r="M149" s="119">
        <f t="shared" si="49"/>
        <v>-240039.02039868207</v>
      </c>
      <c r="N149" s="119">
        <f t="shared" si="49"/>
        <v>-243494.20754877376</v>
      </c>
      <c r="O149" s="119">
        <f t="shared" si="49"/>
        <v>-247018.70845573797</v>
      </c>
      <c r="P149" s="119">
        <f t="shared" si="49"/>
        <v>-250613.91464505866</v>
      </c>
      <c r="Q149" s="119">
        <f t="shared" si="49"/>
        <v>-254281.24560398838</v>
      </c>
      <c r="R149" s="119">
        <f t="shared" si="49"/>
        <v>-192083.37103195605</v>
      </c>
      <c r="S149" s="119">
        <f t="shared" si="49"/>
        <v>-195899.32466285198</v>
      </c>
      <c r="T149" s="119">
        <f t="shared" si="49"/>
        <v>-199791.83497778355</v>
      </c>
      <c r="U149" s="119">
        <f t="shared" si="49"/>
        <v>-203762.43905071737</v>
      </c>
      <c r="V149" s="119">
        <f t="shared" si="49"/>
        <v>-207812.70484560559</v>
      </c>
      <c r="W149" s="119">
        <f t="shared" si="49"/>
        <v>-211944.23183789995</v>
      </c>
      <c r="X149" s="119">
        <f t="shared" si="49"/>
        <v>-216158.65164858632</v>
      </c>
      <c r="Y149" s="119">
        <f t="shared" si="49"/>
        <v>-220457.62869099638</v>
      </c>
      <c r="Z149" s="119">
        <f t="shared" si="49"/>
        <v>-224842.86083065177</v>
      </c>
      <c r="AA149" s="119">
        <f t="shared" si="49"/>
        <v>-226942.12724958078</v>
      </c>
      <c r="AB149" s="119">
        <f t="shared" si="49"/>
        <v>0</v>
      </c>
      <c r="AC149" s="119">
        <f t="shared" si="49"/>
        <v>0</v>
      </c>
      <c r="AD149" s="119">
        <f t="shared" si="49"/>
        <v>0</v>
      </c>
      <c r="AE149" s="119">
        <f t="shared" si="49"/>
        <v>0</v>
      </c>
      <c r="AF149" s="119">
        <f t="shared" si="49"/>
        <v>0</v>
      </c>
      <c r="AG149" s="119">
        <f t="shared" si="49"/>
        <v>0</v>
      </c>
      <c r="AH149" s="119">
        <f t="shared" si="49"/>
        <v>0</v>
      </c>
      <c r="AI149" s="119">
        <f t="shared" si="49"/>
        <v>0</v>
      </c>
      <c r="AJ149" s="119">
        <f t="shared" si="49"/>
        <v>0</v>
      </c>
      <c r="AK149" s="119">
        <f t="shared" si="49"/>
        <v>0</v>
      </c>
      <c r="AL149" s="119">
        <f t="shared" si="49"/>
        <v>0</v>
      </c>
      <c r="AM149" s="119">
        <f t="shared" si="49"/>
        <v>0</v>
      </c>
      <c r="AN149" s="119">
        <f t="shared" si="49"/>
        <v>0</v>
      </c>
      <c r="AO149" s="119">
        <f t="shared" si="49"/>
        <v>0</v>
      </c>
      <c r="AP149" s="119">
        <f t="shared" si="49"/>
        <v>0</v>
      </c>
    </row>
    <row r="150" spans="1:42" x14ac:dyDescent="0.2">
      <c r="A150" s="18" t="s">
        <v>360</v>
      </c>
      <c r="B150" s="119">
        <f>B247</f>
        <v>0</v>
      </c>
      <c r="C150" s="119">
        <f t="shared" ref="C150:AP150" si="50">C247</f>
        <v>-583144.0118720918</v>
      </c>
      <c r="D150" s="119">
        <f t="shared" si="50"/>
        <v>-591047.55874709156</v>
      </c>
      <c r="E150" s="119">
        <f t="shared" si="50"/>
        <v>-599109.63429396693</v>
      </c>
      <c r="F150" s="119">
        <f t="shared" si="50"/>
        <v>-607333.42052951362</v>
      </c>
      <c r="G150" s="119">
        <f t="shared" si="50"/>
        <v>-615722.1633969493</v>
      </c>
      <c r="H150" s="119">
        <f t="shared" si="50"/>
        <v>-624279.17405159061</v>
      </c>
      <c r="I150" s="119">
        <f t="shared" si="50"/>
        <v>-633007.8301724284</v>
      </c>
      <c r="J150" s="119">
        <f t="shared" si="50"/>
        <v>-641911.57730011409</v>
      </c>
      <c r="K150" s="119">
        <f t="shared" si="50"/>
        <v>-650993.93020189565</v>
      </c>
      <c r="L150" s="119">
        <f t="shared" si="50"/>
        <v>-660258.47426404338</v>
      </c>
      <c r="M150" s="119">
        <f t="shared" si="50"/>
        <v>-669708.86691232293</v>
      </c>
      <c r="N150" s="119">
        <f t="shared" si="50"/>
        <v>-679348.83906107873</v>
      </c>
      <c r="O150" s="119">
        <f t="shared" si="50"/>
        <v>-689182.19659150904</v>
      </c>
      <c r="P150" s="119">
        <f t="shared" si="50"/>
        <v>-699212.82185971364</v>
      </c>
      <c r="Q150" s="119">
        <f t="shared" si="50"/>
        <v>-709444.67523512768</v>
      </c>
      <c r="R150" s="119">
        <f t="shared" si="50"/>
        <v>-535912.60517915746</v>
      </c>
      <c r="S150" s="119">
        <f t="shared" si="50"/>
        <v>-546559.11580935703</v>
      </c>
      <c r="T150" s="119">
        <f t="shared" si="50"/>
        <v>-557419.21958801616</v>
      </c>
      <c r="U150" s="119">
        <f t="shared" si="50"/>
        <v>-568497.20495150145</v>
      </c>
      <c r="V150" s="119">
        <f t="shared" si="50"/>
        <v>-579797.44651923957</v>
      </c>
      <c r="W150" s="119">
        <f t="shared" si="50"/>
        <v>-591324.40682774084</v>
      </c>
      <c r="X150" s="119">
        <f t="shared" si="50"/>
        <v>-603082.63809955586</v>
      </c>
      <c r="Y150" s="119">
        <f t="shared" si="50"/>
        <v>-615076.78404787998</v>
      </c>
      <c r="Z150" s="119">
        <f t="shared" si="50"/>
        <v>-627311.58171751862</v>
      </c>
      <c r="AA150" s="119">
        <f t="shared" si="50"/>
        <v>-633168.53502633038</v>
      </c>
      <c r="AB150" s="119">
        <f t="shared" si="50"/>
        <v>0</v>
      </c>
      <c r="AC150" s="119">
        <f t="shared" si="50"/>
        <v>0</v>
      </c>
      <c r="AD150" s="119">
        <f t="shared" si="50"/>
        <v>0</v>
      </c>
      <c r="AE150" s="119">
        <f t="shared" si="50"/>
        <v>0</v>
      </c>
      <c r="AF150" s="119">
        <f t="shared" si="50"/>
        <v>0</v>
      </c>
      <c r="AG150" s="119">
        <f t="shared" si="50"/>
        <v>0</v>
      </c>
      <c r="AH150" s="119">
        <f t="shared" si="50"/>
        <v>0</v>
      </c>
      <c r="AI150" s="119">
        <f t="shared" si="50"/>
        <v>0</v>
      </c>
      <c r="AJ150" s="119">
        <f t="shared" si="50"/>
        <v>0</v>
      </c>
      <c r="AK150" s="119">
        <f t="shared" si="50"/>
        <v>0</v>
      </c>
      <c r="AL150" s="119">
        <f t="shared" si="50"/>
        <v>0</v>
      </c>
      <c r="AM150" s="119">
        <f t="shared" si="50"/>
        <v>0</v>
      </c>
      <c r="AN150" s="119">
        <f t="shared" si="50"/>
        <v>0</v>
      </c>
      <c r="AO150" s="119">
        <f t="shared" si="50"/>
        <v>0</v>
      </c>
      <c r="AP150" s="119">
        <f t="shared" si="50"/>
        <v>0</v>
      </c>
    </row>
    <row r="151" spans="1:42" x14ac:dyDescent="0.2">
      <c r="A151" s="18" t="s">
        <v>361</v>
      </c>
      <c r="B151" s="120">
        <v>0</v>
      </c>
      <c r="C151" s="120">
        <f>-Inputs!$C$63</f>
        <v>-847617.58199999994</v>
      </c>
      <c r="D151" s="120">
        <v>0</v>
      </c>
      <c r="E151" s="120">
        <v>0</v>
      </c>
      <c r="F151" s="120">
        <v>0</v>
      </c>
      <c r="G151" s="120">
        <v>0</v>
      </c>
      <c r="H151" s="120">
        <v>0</v>
      </c>
      <c r="I151" s="120">
        <v>0</v>
      </c>
      <c r="J151" s="120">
        <v>0</v>
      </c>
      <c r="K151" s="120">
        <v>0</v>
      </c>
      <c r="L151" s="120">
        <v>0</v>
      </c>
      <c r="M151" s="120">
        <v>0</v>
      </c>
      <c r="N151" s="120">
        <v>0</v>
      </c>
      <c r="O151" s="120">
        <v>0</v>
      </c>
      <c r="P151" s="120">
        <v>0</v>
      </c>
      <c r="Q151" s="120">
        <v>0</v>
      </c>
      <c r="R151" s="120">
        <v>0</v>
      </c>
      <c r="S151" s="120">
        <v>0</v>
      </c>
      <c r="T151" s="120">
        <v>0</v>
      </c>
      <c r="U151" s="120">
        <v>0</v>
      </c>
      <c r="V151" s="120">
        <v>0</v>
      </c>
      <c r="W151" s="120">
        <v>0</v>
      </c>
      <c r="X151" s="120">
        <v>0</v>
      </c>
      <c r="Y151" s="120">
        <v>0</v>
      </c>
      <c r="Z151" s="120">
        <v>0</v>
      </c>
      <c r="AA151" s="120">
        <v>0</v>
      </c>
      <c r="AB151" s="120">
        <v>0</v>
      </c>
      <c r="AC151" s="120">
        <v>0</v>
      </c>
      <c r="AD151" s="120">
        <v>0</v>
      </c>
      <c r="AE151" s="120">
        <v>0</v>
      </c>
      <c r="AF151" s="120">
        <v>0</v>
      </c>
      <c r="AG151" s="120">
        <v>0</v>
      </c>
      <c r="AH151" s="120">
        <v>0</v>
      </c>
      <c r="AI151" s="120">
        <v>0</v>
      </c>
      <c r="AJ151" s="120">
        <v>0</v>
      </c>
      <c r="AK151" s="120">
        <v>0</v>
      </c>
      <c r="AL151" s="120">
        <v>0</v>
      </c>
      <c r="AM151" s="120">
        <v>0</v>
      </c>
      <c r="AN151" s="120">
        <v>0</v>
      </c>
      <c r="AO151" s="120">
        <v>0</v>
      </c>
      <c r="AP151" s="120">
        <v>0</v>
      </c>
    </row>
    <row r="152" spans="1:42" x14ac:dyDescent="0.2">
      <c r="A152" s="289" t="s">
        <v>337</v>
      </c>
      <c r="B152" s="120">
        <f>SUM(B148:B151)</f>
        <v>432468.7736579217</v>
      </c>
      <c r="C152" s="120">
        <f t="shared" ref="C152:AP152" si="51">SUM(C148:C151)</f>
        <v>385382.1058220258</v>
      </c>
      <c r="D152" s="120">
        <f t="shared" si="51"/>
        <v>1262263.3284470262</v>
      </c>
      <c r="E152" s="120">
        <f t="shared" si="51"/>
        <v>1292111.6200876504</v>
      </c>
      <c r="F152" s="120">
        <f t="shared" si="51"/>
        <v>1322556.2402192913</v>
      </c>
      <c r="G152" s="120">
        <f t="shared" si="51"/>
        <v>1353609.0994782224</v>
      </c>
      <c r="H152" s="120">
        <f t="shared" si="51"/>
        <v>1385282.3463151078</v>
      </c>
      <c r="I152" s="120">
        <f t="shared" si="51"/>
        <v>1417588.3717413249</v>
      </c>
      <c r="J152" s="120">
        <f t="shared" si="51"/>
        <v>1450539.8141699743</v>
      </c>
      <c r="K152" s="120">
        <f t="shared" si="51"/>
        <v>1484149.5643534539</v>
      </c>
      <c r="L152" s="120">
        <f t="shared" si="51"/>
        <v>1518430.7704195161</v>
      </c>
      <c r="M152" s="120">
        <f t="shared" si="51"/>
        <v>1553396.8430077848</v>
      </c>
      <c r="N152" s="120">
        <f t="shared" si="51"/>
        <v>1589061.4605087275</v>
      </c>
      <c r="O152" s="120">
        <f t="shared" si="51"/>
        <v>1625438.5744071193</v>
      </c>
      <c r="P152" s="120">
        <f t="shared" si="51"/>
        <v>1662542.4147320958</v>
      </c>
      <c r="Q152" s="120">
        <f t="shared" si="51"/>
        <v>1700387.4956159042</v>
      </c>
      <c r="R152" s="120">
        <f t="shared" si="51"/>
        <v>1988896.5907664201</v>
      </c>
      <c r="S152" s="120">
        <f t="shared" si="51"/>
        <v>2028268.8600382905</v>
      </c>
      <c r="T152" s="120">
        <f t="shared" si="51"/>
        <v>2068427.6741483249</v>
      </c>
      <c r="U152" s="120">
        <f t="shared" si="51"/>
        <v>2109388.7414796026</v>
      </c>
      <c r="V152" s="120">
        <f t="shared" si="51"/>
        <v>2151168.084020027</v>
      </c>
      <c r="W152" s="120">
        <f t="shared" si="51"/>
        <v>2193782.0436203433</v>
      </c>
      <c r="X152" s="120">
        <f t="shared" si="51"/>
        <v>2237247.2883769763</v>
      </c>
      <c r="Y152" s="120">
        <f t="shared" si="51"/>
        <v>2281580.8191421591</v>
      </c>
      <c r="Z152" s="120">
        <f t="shared" si="51"/>
        <v>2326799.9761638995</v>
      </c>
      <c r="AA152" s="120">
        <f t="shared" si="51"/>
        <v>5750935.4155328339</v>
      </c>
      <c r="AB152" s="120">
        <f t="shared" si="51"/>
        <v>0</v>
      </c>
      <c r="AC152" s="120">
        <f t="shared" si="51"/>
        <v>0</v>
      </c>
      <c r="AD152" s="120">
        <f t="shared" si="51"/>
        <v>0</v>
      </c>
      <c r="AE152" s="120">
        <f t="shared" si="51"/>
        <v>0</v>
      </c>
      <c r="AF152" s="120">
        <f t="shared" si="51"/>
        <v>0</v>
      </c>
      <c r="AG152" s="120">
        <f t="shared" si="51"/>
        <v>0</v>
      </c>
      <c r="AH152" s="120">
        <f t="shared" si="51"/>
        <v>0</v>
      </c>
      <c r="AI152" s="120">
        <f t="shared" si="51"/>
        <v>0</v>
      </c>
      <c r="AJ152" s="120">
        <f t="shared" si="51"/>
        <v>0</v>
      </c>
      <c r="AK152" s="120">
        <f t="shared" si="51"/>
        <v>0</v>
      </c>
      <c r="AL152" s="120">
        <f t="shared" si="51"/>
        <v>0</v>
      </c>
      <c r="AM152" s="120">
        <f t="shared" si="51"/>
        <v>0</v>
      </c>
      <c r="AN152" s="120">
        <f t="shared" si="51"/>
        <v>0</v>
      </c>
      <c r="AO152" s="120">
        <f t="shared" si="51"/>
        <v>0</v>
      </c>
      <c r="AP152" s="120">
        <f t="shared" si="51"/>
        <v>0</v>
      </c>
    </row>
    <row r="153" spans="1:42" x14ac:dyDescent="0.2">
      <c r="A153" s="87"/>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row>
    <row r="154" spans="1:42" x14ac:dyDescent="0.2">
      <c r="A154" s="18" t="s">
        <v>317</v>
      </c>
      <c r="B154" s="108"/>
      <c r="C154" s="108" t="str">
        <f>IF(ISERROR(IRR($B152:C152)),"NaN",ROUND(IRR($B152:C152)*100,4))</f>
        <v>NaN</v>
      </c>
      <c r="D154" s="108" t="str">
        <f>IF(ISERROR(IRR($B152:D152)),"NaN",ROUND(IRR($B152:D152)*100,4))</f>
        <v>NaN</v>
      </c>
      <c r="E154" s="108" t="str">
        <f>IF(ISERROR(IRR($B152:E152)),"NaN",ROUND(IRR($B152:E152)*100,4))</f>
        <v>NaN</v>
      </c>
      <c r="F154" s="108" t="str">
        <f>IF(ISERROR(IRR($B152:F152)),"NaN",ROUND(IRR($B152:F152)*100,4))</f>
        <v>NaN</v>
      </c>
      <c r="G154" s="108" t="str">
        <f>IF(ISERROR(IRR($B152:G152)),"NaN",ROUND(IRR($B152:G152)*100,4))</f>
        <v>NaN</v>
      </c>
      <c r="H154" s="108" t="str">
        <f>IF(ISERROR(IRR($B152:H152)),"NaN",ROUND(IRR($B152:H152)*100,4))</f>
        <v>NaN</v>
      </c>
      <c r="I154" s="108" t="str">
        <f>IF(ISERROR(IRR($B152:I152)),"NaN",ROUND(IRR($B152:I152)*100,4))</f>
        <v>NaN</v>
      </c>
      <c r="J154" s="108" t="str">
        <f>IF(ISERROR(IRR($B152:J152)),"NaN",ROUND(IRR($B152:J152)*100,4))</f>
        <v>NaN</v>
      </c>
      <c r="K154" s="108" t="str">
        <f>IF(ISERROR(IRR($B152:K152)),"NaN",ROUND(IRR($B152:K152)*100,4))</f>
        <v>NaN</v>
      </c>
      <c r="L154" s="108" t="str">
        <f>IF(ISERROR(IRR($B152:L152)),"NaN",ROUND(IRR($B152:L152)*100,4))</f>
        <v>NaN</v>
      </c>
      <c r="M154" s="108" t="str">
        <f>IF(ISERROR(IRR($B152:M152)),"NaN",ROUND(IRR($B152:M152)*100,4))</f>
        <v>NaN</v>
      </c>
      <c r="N154" s="108" t="str">
        <f>IF(ISERROR(IRR($B152:N152)),"NaN",ROUND(IRR($B152:N152)*100,4))</f>
        <v>NaN</v>
      </c>
      <c r="O154" s="108" t="str">
        <f>IF(ISERROR(IRR($B152:O152)),"NaN",ROUND(IRR($B152:O152)*100,4))</f>
        <v>NaN</v>
      </c>
      <c r="P154" s="108" t="str">
        <f>IF(ISERROR(IRR($B152:P152)),"NaN",ROUND(IRR($B152:P152)*100,4))</f>
        <v>NaN</v>
      </c>
      <c r="Q154" s="108" t="str">
        <f>IF(ISERROR(IRR($B152:Q152)),"NaN",ROUND(IRR($B152:Q152)*100,4))</f>
        <v>NaN</v>
      </c>
      <c r="R154" s="108" t="str">
        <f>IF(ISERROR(IRR($B152:R152)),"NaN",ROUND(IRR($B152:R152)*100,4))</f>
        <v>NaN</v>
      </c>
      <c r="S154" s="108" t="str">
        <f>IF(ISERROR(IRR($B152:S152)),"NaN",ROUND(IRR($B152:S152)*100,4))</f>
        <v>NaN</v>
      </c>
      <c r="T154" s="108" t="str">
        <f>IF(ISERROR(IRR($B152:T152)),"NaN",ROUND(IRR($B152:T152)*100,4))</f>
        <v>NaN</v>
      </c>
      <c r="U154" s="108" t="str">
        <f>IF(ISERROR(IRR($B152:U152)),"NaN",ROUND(IRR($B152:U152)*100,4))</f>
        <v>NaN</v>
      </c>
      <c r="V154" s="108" t="str">
        <f>IF(ISERROR(IRR($B152:V152)),"NaN",ROUND(IRR($B152:V152)*100,4))</f>
        <v>NaN</v>
      </c>
      <c r="W154" s="108" t="str">
        <f>IF(ISERROR(IRR($B152:W152)),"NaN",ROUND(IRR($B152:W152)*100,4))</f>
        <v>NaN</v>
      </c>
      <c r="X154" s="108" t="str">
        <f>IF(ISERROR(IRR($B152:X152)),"NaN",ROUND(IRR($B152:X152)*100,4))</f>
        <v>NaN</v>
      </c>
      <c r="Y154" s="108" t="str">
        <f>IF(ISERROR(IRR($B152:Y152)),"NaN",ROUND(IRR($B152:Y152)*100,4))</f>
        <v>NaN</v>
      </c>
      <c r="Z154" s="108" t="str">
        <f>IF(ISERROR(IRR($B152:Z152)),"NaN",ROUND(IRR($B152:Z152)*100,4))</f>
        <v>NaN</v>
      </c>
      <c r="AA154" s="108" t="str">
        <f>IF(ISERROR(IRR($B152:AA152)),"NaN",ROUND(IRR($B152:AA152)*100,4))</f>
        <v>NaN</v>
      </c>
      <c r="AB154" s="108" t="str">
        <f>IF(ISERROR(IRR($B152:AB152)),"NaN",ROUND(IRR($B152:AB152)*100,4))</f>
        <v>NaN</v>
      </c>
      <c r="AC154" s="108" t="str">
        <f>IF(ISERROR(IRR($B152:AC152)),"NaN",ROUND(IRR($B152:AC152)*100,4))</f>
        <v>NaN</v>
      </c>
      <c r="AD154" s="108" t="str">
        <f>IF(ISERROR(IRR($B152:AD152)),"NaN",ROUND(IRR($B152:AD152)*100,4))</f>
        <v>NaN</v>
      </c>
      <c r="AE154" s="108" t="str">
        <f>IF(ISERROR(IRR($B152:AE152)),"NaN",ROUND(IRR($B152:AE152)*100,4))</f>
        <v>NaN</v>
      </c>
      <c r="AF154" s="108" t="str">
        <f>IF(ISERROR(IRR($B152:AF152)),"NaN",ROUND(IRR($B152:AF152)*100,4))</f>
        <v>NaN</v>
      </c>
      <c r="AG154" s="108" t="str">
        <f>IF(ISERROR(IRR($B152:AG152)),"NaN",ROUND(IRR($B152:AG152)*100,4))</f>
        <v>NaN</v>
      </c>
      <c r="AH154" s="108" t="str">
        <f>IF(ISERROR(IRR($B152:AH152)),"NaN",ROUND(IRR($B152:AH152)*100,4))</f>
        <v>NaN</v>
      </c>
      <c r="AI154" s="108" t="str">
        <f>IF(ISERROR(IRR($B152:AI152)),"NaN",ROUND(IRR($B152:AI152)*100,4))</f>
        <v>NaN</v>
      </c>
      <c r="AJ154" s="108" t="str">
        <f>IF(ISERROR(IRR($B152:AJ152)),"NaN",ROUND(IRR($B152:AJ152)*100,4))</f>
        <v>NaN</v>
      </c>
      <c r="AK154" s="108" t="str">
        <f>IF(ISERROR(IRR($B152:AK152)),"NaN",ROUND(IRR($B152:AK152)*100,4))</f>
        <v>NaN</v>
      </c>
      <c r="AL154" s="108" t="str">
        <f>IF(ISERROR(IRR($B152:AL152)),"NaN",ROUND(IRR($B152:AL152)*100,4))</f>
        <v>NaN</v>
      </c>
      <c r="AM154" s="108" t="str">
        <f>IF(ISERROR(IRR($B152:AM152)),"NaN",ROUND(IRR($B152:AM152)*100,4))</f>
        <v>NaN</v>
      </c>
      <c r="AN154" s="108" t="str">
        <f>IF(ISERROR(IRR($B152:AN152)),"NaN",ROUND(IRR($B152:AN152)*100,4))</f>
        <v>NaN</v>
      </c>
      <c r="AO154" s="108" t="str">
        <f>IF(ISERROR(IRR($B152:AO152)),"NaN",ROUND(IRR($B152:AO152)*100,4))</f>
        <v>NaN</v>
      </c>
      <c r="AP154" s="108" t="str">
        <f>IF(ISERROR(IRR($B152:AP152)),"NaN",ROUND(IRR($B152:AP152)*100,4))</f>
        <v>NaN</v>
      </c>
    </row>
    <row r="155" spans="1:42" x14ac:dyDescent="0.2">
      <c r="A155" s="87" t="s">
        <v>8</v>
      </c>
      <c r="B155" s="108"/>
      <c r="C155" s="108">
        <f>MAX($C$154:C$154)</f>
        <v>0</v>
      </c>
      <c r="D155" s="108">
        <f>MAX($C$154:D$154)</f>
        <v>0</v>
      </c>
      <c r="E155" s="108">
        <f>MAX($C$154:E$154)</f>
        <v>0</v>
      </c>
      <c r="F155" s="108">
        <f>MAX($C$154:F$154)</f>
        <v>0</v>
      </c>
      <c r="G155" s="108">
        <f>MAX($C$154:G$154)</f>
        <v>0</v>
      </c>
      <c r="H155" s="108">
        <f>MAX($C$154:H$154)</f>
        <v>0</v>
      </c>
      <c r="I155" s="108">
        <f>MAX($C$154:I$154)</f>
        <v>0</v>
      </c>
      <c r="J155" s="108">
        <f>MAX($C$154:J$154)</f>
        <v>0</v>
      </c>
      <c r="K155" s="108">
        <f>MAX($C$154:K$154)</f>
        <v>0</v>
      </c>
      <c r="L155" s="108">
        <f>MAX($C$154:L$154)</f>
        <v>0</v>
      </c>
      <c r="M155" s="108">
        <f>MAX($C$154:M$154)</f>
        <v>0</v>
      </c>
      <c r="N155" s="108">
        <f>MAX($C$154:N$154)</f>
        <v>0</v>
      </c>
      <c r="O155" s="108">
        <f>MAX($C$154:O$154)</f>
        <v>0</v>
      </c>
      <c r="P155" s="108">
        <f>MAX($C$154:P$154)</f>
        <v>0</v>
      </c>
      <c r="Q155" s="108">
        <f>MAX($C$154:Q$154)</f>
        <v>0</v>
      </c>
      <c r="R155" s="108">
        <f>MAX($C$154:R$154)</f>
        <v>0</v>
      </c>
      <c r="S155" s="108">
        <f>MAX($C$154:S$154)</f>
        <v>0</v>
      </c>
      <c r="T155" s="108">
        <f>MAX($C$154:T$154)</f>
        <v>0</v>
      </c>
      <c r="U155" s="108">
        <f>MAX($C$154:U$154)</f>
        <v>0</v>
      </c>
      <c r="V155" s="108">
        <f>MAX($C$154:V$154)</f>
        <v>0</v>
      </c>
      <c r="W155" s="108">
        <f>MAX($C$154:W$154)</f>
        <v>0</v>
      </c>
      <c r="X155" s="108">
        <f>MAX($C$154:X$154)</f>
        <v>0</v>
      </c>
      <c r="Y155" s="108">
        <f>MAX($C$154:Y$154)</f>
        <v>0</v>
      </c>
      <c r="Z155" s="108">
        <f>MAX($C$154:Z$154)</f>
        <v>0</v>
      </c>
      <c r="AA155" s="108">
        <f>MAX($C$154:AA$154)</f>
        <v>0</v>
      </c>
      <c r="AB155" s="108">
        <f>MAX($C$154:AB$154)</f>
        <v>0</v>
      </c>
      <c r="AC155" s="108">
        <f>MAX($C$154:AC$154)</f>
        <v>0</v>
      </c>
      <c r="AD155" s="108">
        <f>MAX($C$154:AD$154)</f>
        <v>0</v>
      </c>
      <c r="AE155" s="108">
        <f>MAX($C$154:AE$154)</f>
        <v>0</v>
      </c>
      <c r="AF155" s="108">
        <f>MAX($C$154:AF$154)</f>
        <v>0</v>
      </c>
      <c r="AG155" s="108">
        <f>MAX($C$154:AG$154)</f>
        <v>0</v>
      </c>
      <c r="AH155" s="108">
        <f>MAX($C$154:AH$154)</f>
        <v>0</v>
      </c>
      <c r="AI155" s="108">
        <f>MAX($C$154:AI$154)</f>
        <v>0</v>
      </c>
      <c r="AJ155" s="108">
        <f>MAX($C$154:AJ$154)</f>
        <v>0</v>
      </c>
      <c r="AK155" s="108">
        <f>MAX($C$154:AK$154)</f>
        <v>0</v>
      </c>
      <c r="AL155" s="108">
        <f>MAX($C$154:AL$154)</f>
        <v>0</v>
      </c>
      <c r="AM155" s="108">
        <f>MAX($C$154:AM$154)</f>
        <v>0</v>
      </c>
      <c r="AN155" s="108">
        <f>MAX($C$154:AN$154)</f>
        <v>0</v>
      </c>
      <c r="AO155" s="108">
        <f>MAX($C$154:AO$154)</f>
        <v>0</v>
      </c>
      <c r="AP155" s="108">
        <f>MAX($C$154:AP$154)</f>
        <v>0</v>
      </c>
    </row>
    <row r="156" spans="1:42" x14ac:dyDescent="0.2">
      <c r="A156" s="18"/>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c r="AF156" s="119"/>
      <c r="AG156" s="119"/>
      <c r="AH156" s="119"/>
      <c r="AI156" s="119"/>
      <c r="AJ156" s="119"/>
      <c r="AK156" s="119"/>
      <c r="AL156" s="119"/>
      <c r="AM156" s="119"/>
      <c r="AN156" s="119"/>
      <c r="AO156" s="119"/>
      <c r="AP156" s="119"/>
    </row>
    <row r="157" spans="1:42" x14ac:dyDescent="0.2">
      <c r="A157" s="18" t="s">
        <v>320</v>
      </c>
      <c r="B157" s="119">
        <f>B152+NPV(NominalDiscountRate/100,C152:AP152)</f>
        <v>15062553.20578449</v>
      </c>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19"/>
      <c r="AP157" s="119"/>
    </row>
    <row r="158" spans="1:42" x14ac:dyDescent="0.2">
      <c r="A158" s="18"/>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c r="AA158" s="119"/>
      <c r="AB158" s="119"/>
      <c r="AC158" s="119"/>
      <c r="AD158" s="119"/>
      <c r="AE158" s="119"/>
      <c r="AF158" s="119"/>
      <c r="AG158" s="119"/>
      <c r="AH158" s="119"/>
      <c r="AI158" s="119"/>
      <c r="AJ158" s="119"/>
      <c r="AK158" s="119"/>
      <c r="AL158" s="119"/>
      <c r="AM158" s="119"/>
      <c r="AN158" s="119"/>
      <c r="AO158" s="119"/>
      <c r="AP158" s="119"/>
    </row>
    <row r="159" spans="1:42" x14ac:dyDescent="0.2">
      <c r="A159" s="82" t="s">
        <v>296</v>
      </c>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row>
    <row r="160" spans="1:42" x14ac:dyDescent="0.2">
      <c r="A160" s="20" t="s">
        <v>297</v>
      </c>
    </row>
    <row r="161" spans="1:42" x14ac:dyDescent="0.2">
      <c r="A161" s="18" t="s">
        <v>344</v>
      </c>
      <c r="B161" s="119">
        <f>-B76</f>
        <v>-111989777.5</v>
      </c>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c r="AO161" s="119"/>
      <c r="AP161" s="119"/>
    </row>
    <row r="162" spans="1:42" x14ac:dyDescent="0.2">
      <c r="A162" s="18" t="s">
        <v>334</v>
      </c>
      <c r="B162" s="119">
        <f>C625</f>
        <v>0</v>
      </c>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c r="AO162" s="119"/>
      <c r="AP162" s="119"/>
    </row>
    <row r="163" spans="1:42" x14ac:dyDescent="0.2">
      <c r="A163" s="18" t="s">
        <v>335</v>
      </c>
      <c r="B163" s="119">
        <f>C632</f>
        <v>0</v>
      </c>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c r="AO163" s="119"/>
      <c r="AP163" s="119"/>
    </row>
    <row r="164" spans="1:42" x14ac:dyDescent="0.2">
      <c r="A164" s="18" t="s">
        <v>280</v>
      </c>
      <c r="B164" s="119">
        <f t="shared" ref="B164:AP164" si="52">B23</f>
        <v>0</v>
      </c>
      <c r="C164" s="119">
        <f t="shared" si="52"/>
        <v>0</v>
      </c>
      <c r="D164" s="119">
        <f t="shared" si="52"/>
        <v>0</v>
      </c>
      <c r="E164" s="119">
        <f t="shared" si="52"/>
        <v>0</v>
      </c>
      <c r="F164" s="119">
        <f t="shared" si="52"/>
        <v>0</v>
      </c>
      <c r="G164" s="119">
        <f t="shared" si="52"/>
        <v>0</v>
      </c>
      <c r="H164" s="119">
        <f t="shared" si="52"/>
        <v>0</v>
      </c>
      <c r="I164" s="119">
        <f t="shared" si="52"/>
        <v>0</v>
      </c>
      <c r="J164" s="119">
        <f t="shared" si="52"/>
        <v>0</v>
      </c>
      <c r="K164" s="119">
        <f t="shared" si="52"/>
        <v>0</v>
      </c>
      <c r="L164" s="119">
        <f t="shared" si="52"/>
        <v>0</v>
      </c>
      <c r="M164" s="119">
        <f t="shared" si="52"/>
        <v>0</v>
      </c>
      <c r="N164" s="119">
        <f t="shared" si="52"/>
        <v>0</v>
      </c>
      <c r="O164" s="119">
        <f t="shared" si="52"/>
        <v>0</v>
      </c>
      <c r="P164" s="119">
        <f t="shared" si="52"/>
        <v>0</v>
      </c>
      <c r="Q164" s="119">
        <f t="shared" si="52"/>
        <v>0</v>
      </c>
      <c r="R164" s="119">
        <f t="shared" si="52"/>
        <v>0</v>
      </c>
      <c r="S164" s="119">
        <f t="shared" si="52"/>
        <v>0</v>
      </c>
      <c r="T164" s="119">
        <f t="shared" si="52"/>
        <v>0</v>
      </c>
      <c r="U164" s="119">
        <f t="shared" si="52"/>
        <v>0</v>
      </c>
      <c r="V164" s="119">
        <f t="shared" si="52"/>
        <v>0</v>
      </c>
      <c r="W164" s="119">
        <f t="shared" si="52"/>
        <v>0</v>
      </c>
      <c r="X164" s="119">
        <f t="shared" si="52"/>
        <v>0</v>
      </c>
      <c r="Y164" s="119">
        <f t="shared" si="52"/>
        <v>0</v>
      </c>
      <c r="Z164" s="119">
        <f t="shared" si="52"/>
        <v>0</v>
      </c>
      <c r="AA164" s="119">
        <f t="shared" si="52"/>
        <v>0</v>
      </c>
      <c r="AB164" s="119">
        <f t="shared" si="52"/>
        <v>0</v>
      </c>
      <c r="AC164" s="119">
        <f t="shared" si="52"/>
        <v>0</v>
      </c>
      <c r="AD164" s="119">
        <f t="shared" si="52"/>
        <v>0</v>
      </c>
      <c r="AE164" s="119">
        <f t="shared" si="52"/>
        <v>0</v>
      </c>
      <c r="AF164" s="119">
        <f t="shared" si="52"/>
        <v>0</v>
      </c>
      <c r="AG164" s="119">
        <f t="shared" si="52"/>
        <v>0</v>
      </c>
      <c r="AH164" s="119">
        <f t="shared" si="52"/>
        <v>0</v>
      </c>
      <c r="AI164" s="119">
        <f t="shared" si="52"/>
        <v>0</v>
      </c>
      <c r="AJ164" s="119">
        <f t="shared" si="52"/>
        <v>0</v>
      </c>
      <c r="AK164" s="119">
        <f t="shared" si="52"/>
        <v>0</v>
      </c>
      <c r="AL164" s="119">
        <f t="shared" si="52"/>
        <v>0</v>
      </c>
      <c r="AM164" s="119">
        <f t="shared" si="52"/>
        <v>0</v>
      </c>
      <c r="AN164" s="119">
        <f t="shared" si="52"/>
        <v>0</v>
      </c>
      <c r="AO164" s="119">
        <f t="shared" si="52"/>
        <v>0</v>
      </c>
      <c r="AP164" s="119">
        <f t="shared" si="52"/>
        <v>0</v>
      </c>
    </row>
    <row r="165" spans="1:42" x14ac:dyDescent="0.2">
      <c r="A165" s="18" t="s">
        <v>282</v>
      </c>
      <c r="B165" s="119">
        <f t="shared" ref="B165:AP165" si="53">B118</f>
        <v>0</v>
      </c>
      <c r="C165" s="119">
        <f t="shared" si="53"/>
        <v>4024942.4526841561</v>
      </c>
      <c r="D165" s="119">
        <f t="shared" si="53"/>
        <v>4000942.8595256046</v>
      </c>
      <c r="E165" s="119">
        <f t="shared" si="53"/>
        <v>3975399.9069920522</v>
      </c>
      <c r="F165" s="119">
        <f t="shared" si="53"/>
        <v>3948294.0110991257</v>
      </c>
      <c r="G165" s="119">
        <f t="shared" si="53"/>
        <v>3919564.6782628396</v>
      </c>
      <c r="H165" s="119">
        <f t="shared" si="53"/>
        <v>3889180.4841596102</v>
      </c>
      <c r="I165" s="119">
        <f t="shared" si="53"/>
        <v>3857109.0520897629</v>
      </c>
      <c r="J165" s="119">
        <f t="shared" si="53"/>
        <v>3823297.0308327745</v>
      </c>
      <c r="K165" s="119">
        <f t="shared" si="53"/>
        <v>3787700.0719821774</v>
      </c>
      <c r="L165" s="119">
        <f t="shared" si="53"/>
        <v>3750282.8067478091</v>
      </c>
      <c r="M165" s="119">
        <f t="shared" si="53"/>
        <v>3710998.8222127454</v>
      </c>
      <c r="N165" s="119">
        <f t="shared" si="53"/>
        <v>3669790.6370319952</v>
      </c>
      <c r="O165" s="119">
        <f t="shared" si="53"/>
        <v>3626619.6765596867</v>
      </c>
      <c r="P165" s="119">
        <f t="shared" si="53"/>
        <v>3581436.2473912146</v>
      </c>
      <c r="Q165" s="119">
        <f t="shared" si="53"/>
        <v>3534179.5113064069</v>
      </c>
      <c r="R165" s="119">
        <f t="shared" si="53"/>
        <v>4250188.2782936571</v>
      </c>
      <c r="S165" s="119">
        <f t="shared" si="53"/>
        <v>4186882.9186342387</v>
      </c>
      <c r="T165" s="119">
        <f t="shared" si="53"/>
        <v>4121364.5986510003</v>
      </c>
      <c r="U165" s="119">
        <f t="shared" si="53"/>
        <v>4053567.6278091995</v>
      </c>
      <c r="V165" s="119">
        <f t="shared" si="53"/>
        <v>3983445.0309801926</v>
      </c>
      <c r="W165" s="119">
        <f t="shared" si="53"/>
        <v>3910928.5184799763</v>
      </c>
      <c r="X165" s="119">
        <f t="shared" si="53"/>
        <v>3835968.4554017596</v>
      </c>
      <c r="Y165" s="119">
        <f t="shared" si="53"/>
        <v>3758503.8302257825</v>
      </c>
      <c r="Z165" s="119">
        <f t="shared" si="53"/>
        <v>3678482.2226891862</v>
      </c>
      <c r="AA165" s="119">
        <f t="shared" si="53"/>
        <v>3629733.3824530034</v>
      </c>
      <c r="AB165" s="119">
        <f t="shared" si="53"/>
        <v>0</v>
      </c>
      <c r="AC165" s="119">
        <f t="shared" si="53"/>
        <v>0</v>
      </c>
      <c r="AD165" s="119">
        <f t="shared" si="53"/>
        <v>0</v>
      </c>
      <c r="AE165" s="119">
        <f t="shared" si="53"/>
        <v>0</v>
      </c>
      <c r="AF165" s="119">
        <f t="shared" si="53"/>
        <v>0</v>
      </c>
      <c r="AG165" s="119">
        <f t="shared" si="53"/>
        <v>0</v>
      </c>
      <c r="AH165" s="119">
        <f t="shared" si="53"/>
        <v>0</v>
      </c>
      <c r="AI165" s="119">
        <f t="shared" si="53"/>
        <v>0</v>
      </c>
      <c r="AJ165" s="119">
        <f t="shared" si="53"/>
        <v>0</v>
      </c>
      <c r="AK165" s="119">
        <f t="shared" si="53"/>
        <v>0</v>
      </c>
      <c r="AL165" s="119">
        <f t="shared" si="53"/>
        <v>0</v>
      </c>
      <c r="AM165" s="119">
        <f t="shared" si="53"/>
        <v>0</v>
      </c>
      <c r="AN165" s="119">
        <f t="shared" si="53"/>
        <v>0</v>
      </c>
      <c r="AO165" s="119">
        <f t="shared" si="53"/>
        <v>0</v>
      </c>
      <c r="AP165" s="119">
        <f t="shared" si="53"/>
        <v>0</v>
      </c>
    </row>
    <row r="166" spans="1:42" x14ac:dyDescent="0.2">
      <c r="A166" s="205" t="s">
        <v>13</v>
      </c>
      <c r="B166" s="137">
        <f>SUM(B161:B165)</f>
        <v>-111989777.5</v>
      </c>
      <c r="C166" s="137">
        <f>SUM(C164:C165)</f>
        <v>4024942.4526841561</v>
      </c>
      <c r="D166" s="137">
        <f t="shared" ref="D166:AP166" si="54">SUM(D164:D165)</f>
        <v>4000942.8595256046</v>
      </c>
      <c r="E166" s="137">
        <f t="shared" si="54"/>
        <v>3975399.9069920522</v>
      </c>
      <c r="F166" s="137">
        <f t="shared" si="54"/>
        <v>3948294.0110991257</v>
      </c>
      <c r="G166" s="137">
        <f t="shared" si="54"/>
        <v>3919564.6782628396</v>
      </c>
      <c r="H166" s="137">
        <f t="shared" si="54"/>
        <v>3889180.4841596102</v>
      </c>
      <c r="I166" s="137">
        <f t="shared" si="54"/>
        <v>3857109.0520897629</v>
      </c>
      <c r="J166" s="137">
        <f t="shared" si="54"/>
        <v>3823297.0308327745</v>
      </c>
      <c r="K166" s="137">
        <f t="shared" si="54"/>
        <v>3787700.0719821774</v>
      </c>
      <c r="L166" s="137">
        <f t="shared" si="54"/>
        <v>3750282.8067478091</v>
      </c>
      <c r="M166" s="137">
        <f t="shared" si="54"/>
        <v>3710998.8222127454</v>
      </c>
      <c r="N166" s="137">
        <f t="shared" si="54"/>
        <v>3669790.6370319952</v>
      </c>
      <c r="O166" s="137">
        <f t="shared" si="54"/>
        <v>3626619.6765596867</v>
      </c>
      <c r="P166" s="137">
        <f t="shared" si="54"/>
        <v>3581436.2473912146</v>
      </c>
      <c r="Q166" s="137">
        <f t="shared" si="54"/>
        <v>3534179.5113064069</v>
      </c>
      <c r="R166" s="137">
        <f t="shared" si="54"/>
        <v>4250188.2782936571</v>
      </c>
      <c r="S166" s="137">
        <f t="shared" si="54"/>
        <v>4186882.9186342387</v>
      </c>
      <c r="T166" s="137">
        <f t="shared" si="54"/>
        <v>4121364.5986510003</v>
      </c>
      <c r="U166" s="137">
        <f t="shared" si="54"/>
        <v>4053567.6278091995</v>
      </c>
      <c r="V166" s="137">
        <f t="shared" si="54"/>
        <v>3983445.0309801926</v>
      </c>
      <c r="W166" s="137">
        <f t="shared" si="54"/>
        <v>3910928.5184799763</v>
      </c>
      <c r="X166" s="137">
        <f t="shared" si="54"/>
        <v>3835968.4554017596</v>
      </c>
      <c r="Y166" s="137">
        <f t="shared" si="54"/>
        <v>3758503.8302257825</v>
      </c>
      <c r="Z166" s="137">
        <f t="shared" si="54"/>
        <v>3678482.2226891862</v>
      </c>
      <c r="AA166" s="137">
        <f t="shared" si="54"/>
        <v>3629733.3824530034</v>
      </c>
      <c r="AB166" s="137">
        <f t="shared" si="54"/>
        <v>0</v>
      </c>
      <c r="AC166" s="137">
        <f t="shared" si="54"/>
        <v>0</v>
      </c>
      <c r="AD166" s="137">
        <f t="shared" si="54"/>
        <v>0</v>
      </c>
      <c r="AE166" s="137">
        <f t="shared" si="54"/>
        <v>0</v>
      </c>
      <c r="AF166" s="137">
        <f t="shared" si="54"/>
        <v>0</v>
      </c>
      <c r="AG166" s="137">
        <f t="shared" si="54"/>
        <v>0</v>
      </c>
      <c r="AH166" s="137">
        <f t="shared" si="54"/>
        <v>0</v>
      </c>
      <c r="AI166" s="137">
        <f t="shared" si="54"/>
        <v>0</v>
      </c>
      <c r="AJ166" s="137">
        <f t="shared" si="54"/>
        <v>0</v>
      </c>
      <c r="AK166" s="137">
        <f t="shared" si="54"/>
        <v>0</v>
      </c>
      <c r="AL166" s="137">
        <f t="shared" si="54"/>
        <v>0</v>
      </c>
      <c r="AM166" s="137">
        <f t="shared" si="54"/>
        <v>0</v>
      </c>
      <c r="AN166" s="137">
        <f t="shared" si="54"/>
        <v>0</v>
      </c>
      <c r="AO166" s="137">
        <f t="shared" si="54"/>
        <v>0</v>
      </c>
      <c r="AP166" s="137">
        <f t="shared" si="54"/>
        <v>0</v>
      </c>
    </row>
    <row r="167" spans="1:42" x14ac:dyDescent="0.2">
      <c r="A167" s="18"/>
    </row>
    <row r="168" spans="1:42" x14ac:dyDescent="0.2">
      <c r="A168" s="20" t="s">
        <v>298</v>
      </c>
    </row>
    <row r="169" spans="1:42" x14ac:dyDescent="0.2">
      <c r="A169" s="18" t="s">
        <v>283</v>
      </c>
      <c r="B169" s="119">
        <f>B166</f>
        <v>-111989777.5</v>
      </c>
      <c r="C169" s="119">
        <f t="shared" ref="C169:AP169" si="55">C166</f>
        <v>4024942.4526841561</v>
      </c>
      <c r="D169" s="119">
        <f t="shared" si="55"/>
        <v>4000942.8595256046</v>
      </c>
      <c r="E169" s="119">
        <f t="shared" si="55"/>
        <v>3975399.9069920522</v>
      </c>
      <c r="F169" s="119">
        <f t="shared" si="55"/>
        <v>3948294.0110991257</v>
      </c>
      <c r="G169" s="119">
        <f t="shared" si="55"/>
        <v>3919564.6782628396</v>
      </c>
      <c r="H169" s="119">
        <f t="shared" si="55"/>
        <v>3889180.4841596102</v>
      </c>
      <c r="I169" s="119">
        <f t="shared" si="55"/>
        <v>3857109.0520897629</v>
      </c>
      <c r="J169" s="119">
        <f t="shared" si="55"/>
        <v>3823297.0308327745</v>
      </c>
      <c r="K169" s="119">
        <f t="shared" si="55"/>
        <v>3787700.0719821774</v>
      </c>
      <c r="L169" s="119">
        <f t="shared" si="55"/>
        <v>3750282.8067478091</v>
      </c>
      <c r="M169" s="119">
        <f t="shared" si="55"/>
        <v>3710998.8222127454</v>
      </c>
      <c r="N169" s="119">
        <f t="shared" si="55"/>
        <v>3669790.6370319952</v>
      </c>
      <c r="O169" s="119">
        <f t="shared" si="55"/>
        <v>3626619.6765596867</v>
      </c>
      <c r="P169" s="119">
        <f t="shared" si="55"/>
        <v>3581436.2473912146</v>
      </c>
      <c r="Q169" s="119">
        <f t="shared" si="55"/>
        <v>3534179.5113064069</v>
      </c>
      <c r="R169" s="119">
        <f t="shared" si="55"/>
        <v>4250188.2782936571</v>
      </c>
      <c r="S169" s="119">
        <f t="shared" si="55"/>
        <v>4186882.9186342387</v>
      </c>
      <c r="T169" s="119">
        <f t="shared" si="55"/>
        <v>4121364.5986510003</v>
      </c>
      <c r="U169" s="119">
        <f t="shared" si="55"/>
        <v>4053567.6278091995</v>
      </c>
      <c r="V169" s="119">
        <f t="shared" si="55"/>
        <v>3983445.0309801926</v>
      </c>
      <c r="W169" s="119">
        <f t="shared" si="55"/>
        <v>3910928.5184799763</v>
      </c>
      <c r="X169" s="119">
        <f t="shared" si="55"/>
        <v>3835968.4554017596</v>
      </c>
      <c r="Y169" s="119">
        <f t="shared" si="55"/>
        <v>3758503.8302257825</v>
      </c>
      <c r="Z169" s="119">
        <f t="shared" si="55"/>
        <v>3678482.2226891862</v>
      </c>
      <c r="AA169" s="119">
        <f t="shared" si="55"/>
        <v>3629733.3824530034</v>
      </c>
      <c r="AB169" s="119">
        <f t="shared" si="55"/>
        <v>0</v>
      </c>
      <c r="AC169" s="119">
        <f t="shared" si="55"/>
        <v>0</v>
      </c>
      <c r="AD169" s="119">
        <f t="shared" si="55"/>
        <v>0</v>
      </c>
      <c r="AE169" s="119">
        <f t="shared" si="55"/>
        <v>0</v>
      </c>
      <c r="AF169" s="119">
        <f t="shared" si="55"/>
        <v>0</v>
      </c>
      <c r="AG169" s="119">
        <f t="shared" si="55"/>
        <v>0</v>
      </c>
      <c r="AH169" s="119">
        <f t="shared" si="55"/>
        <v>0</v>
      </c>
      <c r="AI169" s="119">
        <f t="shared" si="55"/>
        <v>0</v>
      </c>
      <c r="AJ169" s="119">
        <f t="shared" si="55"/>
        <v>0</v>
      </c>
      <c r="AK169" s="119">
        <f t="shared" si="55"/>
        <v>0</v>
      </c>
      <c r="AL169" s="119">
        <f t="shared" si="55"/>
        <v>0</v>
      </c>
      <c r="AM169" s="119">
        <f t="shared" si="55"/>
        <v>0</v>
      </c>
      <c r="AN169" s="119">
        <f t="shared" si="55"/>
        <v>0</v>
      </c>
      <c r="AO169" s="119">
        <f t="shared" si="55"/>
        <v>0</v>
      </c>
      <c r="AP169" s="119">
        <f t="shared" si="55"/>
        <v>0</v>
      </c>
    </row>
    <row r="170" spans="1:42" x14ac:dyDescent="0.2">
      <c r="A170" s="18" t="s">
        <v>333</v>
      </c>
    </row>
    <row r="171" spans="1:42" x14ac:dyDescent="0.2">
      <c r="A171" s="22" t="s">
        <v>5</v>
      </c>
      <c r="B171" s="119"/>
      <c r="C171" s="119">
        <f>C$592</f>
        <v>0</v>
      </c>
      <c r="D171" s="119">
        <f t="shared" ref="D171:AP171" si="56">D$592</f>
        <v>0</v>
      </c>
      <c r="E171" s="119">
        <f t="shared" si="56"/>
        <v>0</v>
      </c>
      <c r="F171" s="119">
        <f t="shared" si="56"/>
        <v>0</v>
      </c>
      <c r="G171" s="119">
        <f t="shared" si="56"/>
        <v>0</v>
      </c>
      <c r="H171" s="119">
        <f t="shared" si="56"/>
        <v>0</v>
      </c>
      <c r="I171" s="119">
        <f t="shared" si="56"/>
        <v>0</v>
      </c>
      <c r="J171" s="119">
        <f t="shared" si="56"/>
        <v>0</v>
      </c>
      <c r="K171" s="119">
        <f t="shared" si="56"/>
        <v>0</v>
      </c>
      <c r="L171" s="119">
        <f t="shared" si="56"/>
        <v>0</v>
      </c>
      <c r="M171" s="119">
        <f t="shared" si="56"/>
        <v>0</v>
      </c>
      <c r="N171" s="119">
        <f t="shared" si="56"/>
        <v>0</v>
      </c>
      <c r="O171" s="119">
        <f t="shared" si="56"/>
        <v>0</v>
      </c>
      <c r="P171" s="119">
        <f t="shared" si="56"/>
        <v>0</v>
      </c>
      <c r="Q171" s="119">
        <f t="shared" si="56"/>
        <v>0</v>
      </c>
      <c r="R171" s="119">
        <f t="shared" si="56"/>
        <v>0</v>
      </c>
      <c r="S171" s="119">
        <f t="shared" si="56"/>
        <v>0</v>
      </c>
      <c r="T171" s="119">
        <f t="shared" si="56"/>
        <v>0</v>
      </c>
      <c r="U171" s="119">
        <f t="shared" si="56"/>
        <v>0</v>
      </c>
      <c r="V171" s="119">
        <f t="shared" si="56"/>
        <v>0</v>
      </c>
      <c r="W171" s="119">
        <f t="shared" si="56"/>
        <v>0</v>
      </c>
      <c r="X171" s="119">
        <f t="shared" si="56"/>
        <v>0</v>
      </c>
      <c r="Y171" s="119">
        <f t="shared" si="56"/>
        <v>0</v>
      </c>
      <c r="Z171" s="119">
        <f t="shared" si="56"/>
        <v>0</v>
      </c>
      <c r="AA171" s="119">
        <f t="shared" si="56"/>
        <v>0</v>
      </c>
      <c r="AB171" s="119">
        <f t="shared" si="56"/>
        <v>0</v>
      </c>
      <c r="AC171" s="119">
        <f t="shared" si="56"/>
        <v>0</v>
      </c>
      <c r="AD171" s="119">
        <f t="shared" si="56"/>
        <v>0</v>
      </c>
      <c r="AE171" s="119">
        <f t="shared" si="56"/>
        <v>0</v>
      </c>
      <c r="AF171" s="119">
        <f t="shared" si="56"/>
        <v>0</v>
      </c>
      <c r="AG171" s="119">
        <f t="shared" si="56"/>
        <v>0</v>
      </c>
      <c r="AH171" s="119">
        <f t="shared" si="56"/>
        <v>0</v>
      </c>
      <c r="AI171" s="119">
        <f t="shared" si="56"/>
        <v>0</v>
      </c>
      <c r="AJ171" s="119">
        <f t="shared" si="56"/>
        <v>0</v>
      </c>
      <c r="AK171" s="119">
        <f t="shared" si="56"/>
        <v>0</v>
      </c>
      <c r="AL171" s="119">
        <f t="shared" si="56"/>
        <v>0</v>
      </c>
      <c r="AM171" s="119">
        <f t="shared" si="56"/>
        <v>0</v>
      </c>
      <c r="AN171" s="119">
        <f t="shared" si="56"/>
        <v>0</v>
      </c>
      <c r="AO171" s="119">
        <f t="shared" si="56"/>
        <v>0</v>
      </c>
      <c r="AP171" s="119">
        <f t="shared" si="56"/>
        <v>0</v>
      </c>
    </row>
    <row r="172" spans="1:42" x14ac:dyDescent="0.2">
      <c r="A172" s="22" t="s">
        <v>4</v>
      </c>
      <c r="B172" s="120"/>
      <c r="C172" s="120">
        <f>C$598</f>
        <v>30237239.924999997</v>
      </c>
      <c r="D172" s="120">
        <f t="shared" ref="D172:AP172" si="57">D$598</f>
        <v>0</v>
      </c>
      <c r="E172" s="120">
        <f t="shared" si="57"/>
        <v>0</v>
      </c>
      <c r="F172" s="120">
        <f t="shared" si="57"/>
        <v>0</v>
      </c>
      <c r="G172" s="120">
        <f t="shared" si="57"/>
        <v>0</v>
      </c>
      <c r="H172" s="120">
        <f t="shared" si="57"/>
        <v>0</v>
      </c>
      <c r="I172" s="120">
        <f t="shared" si="57"/>
        <v>0</v>
      </c>
      <c r="J172" s="120">
        <f t="shared" si="57"/>
        <v>0</v>
      </c>
      <c r="K172" s="120">
        <f t="shared" si="57"/>
        <v>0</v>
      </c>
      <c r="L172" s="120">
        <f t="shared" si="57"/>
        <v>0</v>
      </c>
      <c r="M172" s="120">
        <f t="shared" si="57"/>
        <v>0</v>
      </c>
      <c r="N172" s="120">
        <f t="shared" si="57"/>
        <v>0</v>
      </c>
      <c r="O172" s="120">
        <f t="shared" si="57"/>
        <v>0</v>
      </c>
      <c r="P172" s="120">
        <f t="shared" si="57"/>
        <v>0</v>
      </c>
      <c r="Q172" s="120">
        <f t="shared" si="57"/>
        <v>0</v>
      </c>
      <c r="R172" s="120">
        <f t="shared" si="57"/>
        <v>0</v>
      </c>
      <c r="S172" s="120">
        <f t="shared" si="57"/>
        <v>0</v>
      </c>
      <c r="T172" s="120">
        <f t="shared" si="57"/>
        <v>0</v>
      </c>
      <c r="U172" s="120">
        <f t="shared" si="57"/>
        <v>0</v>
      </c>
      <c r="V172" s="120">
        <f t="shared" si="57"/>
        <v>0</v>
      </c>
      <c r="W172" s="120">
        <f t="shared" si="57"/>
        <v>0</v>
      </c>
      <c r="X172" s="120">
        <f t="shared" si="57"/>
        <v>0</v>
      </c>
      <c r="Y172" s="120">
        <f t="shared" si="57"/>
        <v>0</v>
      </c>
      <c r="Z172" s="120">
        <f t="shared" si="57"/>
        <v>0</v>
      </c>
      <c r="AA172" s="120">
        <f t="shared" si="57"/>
        <v>0</v>
      </c>
      <c r="AB172" s="120">
        <f t="shared" si="57"/>
        <v>0</v>
      </c>
      <c r="AC172" s="120">
        <f t="shared" si="57"/>
        <v>0</v>
      </c>
      <c r="AD172" s="120">
        <f t="shared" si="57"/>
        <v>0</v>
      </c>
      <c r="AE172" s="120">
        <f t="shared" si="57"/>
        <v>0</v>
      </c>
      <c r="AF172" s="120">
        <f t="shared" si="57"/>
        <v>0</v>
      </c>
      <c r="AG172" s="120">
        <f t="shared" si="57"/>
        <v>0</v>
      </c>
      <c r="AH172" s="120">
        <f t="shared" si="57"/>
        <v>0</v>
      </c>
      <c r="AI172" s="120">
        <f t="shared" si="57"/>
        <v>0</v>
      </c>
      <c r="AJ172" s="120">
        <f t="shared" si="57"/>
        <v>0</v>
      </c>
      <c r="AK172" s="120">
        <f t="shared" si="57"/>
        <v>0</v>
      </c>
      <c r="AL172" s="120">
        <f t="shared" si="57"/>
        <v>0</v>
      </c>
      <c r="AM172" s="120">
        <f t="shared" si="57"/>
        <v>0</v>
      </c>
      <c r="AN172" s="120">
        <f t="shared" si="57"/>
        <v>0</v>
      </c>
      <c r="AO172" s="120">
        <f t="shared" si="57"/>
        <v>0</v>
      </c>
      <c r="AP172" s="120">
        <f t="shared" si="57"/>
        <v>0</v>
      </c>
    </row>
    <row r="173" spans="1:42" x14ac:dyDescent="0.2">
      <c r="A173" s="22" t="s">
        <v>330</v>
      </c>
      <c r="B173" s="119"/>
      <c r="C173" s="119">
        <f>SUM(C171:C172)</f>
        <v>30237239.924999997</v>
      </c>
      <c r="D173" s="119">
        <f t="shared" ref="D173:AP173" si="58">SUM(D171:D172)</f>
        <v>0</v>
      </c>
      <c r="E173" s="119">
        <f t="shared" si="58"/>
        <v>0</v>
      </c>
      <c r="F173" s="119">
        <f t="shared" si="58"/>
        <v>0</v>
      </c>
      <c r="G173" s="119">
        <f t="shared" si="58"/>
        <v>0</v>
      </c>
      <c r="H173" s="119">
        <f t="shared" si="58"/>
        <v>0</v>
      </c>
      <c r="I173" s="119">
        <f t="shared" si="58"/>
        <v>0</v>
      </c>
      <c r="J173" s="119">
        <f t="shared" si="58"/>
        <v>0</v>
      </c>
      <c r="K173" s="119">
        <f t="shared" si="58"/>
        <v>0</v>
      </c>
      <c r="L173" s="119">
        <f t="shared" si="58"/>
        <v>0</v>
      </c>
      <c r="M173" s="119">
        <f t="shared" si="58"/>
        <v>0</v>
      </c>
      <c r="N173" s="119">
        <f t="shared" si="58"/>
        <v>0</v>
      </c>
      <c r="O173" s="119">
        <f t="shared" si="58"/>
        <v>0</v>
      </c>
      <c r="P173" s="119">
        <f t="shared" si="58"/>
        <v>0</v>
      </c>
      <c r="Q173" s="119">
        <f t="shared" si="58"/>
        <v>0</v>
      </c>
      <c r="R173" s="119">
        <f t="shared" si="58"/>
        <v>0</v>
      </c>
      <c r="S173" s="119">
        <f t="shared" si="58"/>
        <v>0</v>
      </c>
      <c r="T173" s="119">
        <f t="shared" si="58"/>
        <v>0</v>
      </c>
      <c r="U173" s="119">
        <f t="shared" si="58"/>
        <v>0</v>
      </c>
      <c r="V173" s="119">
        <f t="shared" si="58"/>
        <v>0</v>
      </c>
      <c r="W173" s="119">
        <f t="shared" si="58"/>
        <v>0</v>
      </c>
      <c r="X173" s="119">
        <f t="shared" si="58"/>
        <v>0</v>
      </c>
      <c r="Y173" s="119">
        <f t="shared" si="58"/>
        <v>0</v>
      </c>
      <c r="Z173" s="119">
        <f t="shared" si="58"/>
        <v>0</v>
      </c>
      <c r="AA173" s="119">
        <f t="shared" si="58"/>
        <v>0</v>
      </c>
      <c r="AB173" s="119">
        <f t="shared" si="58"/>
        <v>0</v>
      </c>
      <c r="AC173" s="119">
        <f t="shared" si="58"/>
        <v>0</v>
      </c>
      <c r="AD173" s="119">
        <f t="shared" si="58"/>
        <v>0</v>
      </c>
      <c r="AE173" s="119">
        <f t="shared" si="58"/>
        <v>0</v>
      </c>
      <c r="AF173" s="119">
        <f t="shared" si="58"/>
        <v>0</v>
      </c>
      <c r="AG173" s="119">
        <f t="shared" si="58"/>
        <v>0</v>
      </c>
      <c r="AH173" s="119">
        <f t="shared" si="58"/>
        <v>0</v>
      </c>
      <c r="AI173" s="119">
        <f t="shared" si="58"/>
        <v>0</v>
      </c>
      <c r="AJ173" s="119">
        <f t="shared" si="58"/>
        <v>0</v>
      </c>
      <c r="AK173" s="119">
        <f t="shared" si="58"/>
        <v>0</v>
      </c>
      <c r="AL173" s="119">
        <f t="shared" si="58"/>
        <v>0</v>
      </c>
      <c r="AM173" s="119">
        <f t="shared" si="58"/>
        <v>0</v>
      </c>
      <c r="AN173" s="119">
        <f t="shared" si="58"/>
        <v>0</v>
      </c>
      <c r="AO173" s="119">
        <f t="shared" si="58"/>
        <v>0</v>
      </c>
      <c r="AP173" s="119">
        <f t="shared" si="58"/>
        <v>0</v>
      </c>
    </row>
    <row r="174" spans="1:42" x14ac:dyDescent="0.2">
      <c r="A174" s="18" t="s">
        <v>55</v>
      </c>
    </row>
    <row r="175" spans="1:42" x14ac:dyDescent="0.2">
      <c r="A175" s="22" t="s">
        <v>5</v>
      </c>
      <c r="B175" s="119">
        <f>B605</f>
        <v>0</v>
      </c>
      <c r="C175" s="119">
        <f t="shared" ref="C175:AO175" si="59">C605</f>
        <v>0</v>
      </c>
      <c r="D175" s="119">
        <f t="shared" si="59"/>
        <v>0</v>
      </c>
      <c r="E175" s="119">
        <f t="shared" si="59"/>
        <v>0</v>
      </c>
      <c r="F175" s="119">
        <f t="shared" si="59"/>
        <v>0</v>
      </c>
      <c r="G175" s="119">
        <f t="shared" si="59"/>
        <v>0</v>
      </c>
      <c r="H175" s="119">
        <f t="shared" si="59"/>
        <v>0</v>
      </c>
      <c r="I175" s="119">
        <f t="shared" si="59"/>
        <v>0</v>
      </c>
      <c r="J175" s="119">
        <f t="shared" si="59"/>
        <v>0</v>
      </c>
      <c r="K175" s="119">
        <f t="shared" si="59"/>
        <v>0</v>
      </c>
      <c r="L175" s="119">
        <f t="shared" si="59"/>
        <v>0</v>
      </c>
      <c r="M175" s="119">
        <f t="shared" si="59"/>
        <v>0</v>
      </c>
      <c r="N175" s="119">
        <f t="shared" si="59"/>
        <v>0</v>
      </c>
      <c r="O175" s="119">
        <f t="shared" si="59"/>
        <v>0</v>
      </c>
      <c r="P175" s="119">
        <f t="shared" si="59"/>
        <v>0</v>
      </c>
      <c r="Q175" s="119">
        <f t="shared" si="59"/>
        <v>0</v>
      </c>
      <c r="R175" s="119">
        <f t="shared" si="59"/>
        <v>0</v>
      </c>
      <c r="S175" s="119">
        <f t="shared" si="59"/>
        <v>0</v>
      </c>
      <c r="T175" s="119">
        <f t="shared" si="59"/>
        <v>0</v>
      </c>
      <c r="U175" s="119">
        <f t="shared" si="59"/>
        <v>0</v>
      </c>
      <c r="V175" s="119">
        <f t="shared" si="59"/>
        <v>0</v>
      </c>
      <c r="W175" s="119">
        <f t="shared" si="59"/>
        <v>0</v>
      </c>
      <c r="X175" s="119">
        <f t="shared" si="59"/>
        <v>0</v>
      </c>
      <c r="Y175" s="119">
        <f t="shared" si="59"/>
        <v>0</v>
      </c>
      <c r="Z175" s="119">
        <f t="shared" si="59"/>
        <v>0</v>
      </c>
      <c r="AA175" s="119">
        <f t="shared" si="59"/>
        <v>0</v>
      </c>
      <c r="AB175" s="119">
        <f t="shared" si="59"/>
        <v>0</v>
      </c>
      <c r="AC175" s="119">
        <f t="shared" si="59"/>
        <v>0</v>
      </c>
      <c r="AD175" s="119">
        <f t="shared" si="59"/>
        <v>0</v>
      </c>
      <c r="AE175" s="119">
        <f t="shared" si="59"/>
        <v>0</v>
      </c>
      <c r="AF175" s="119">
        <f t="shared" si="59"/>
        <v>0</v>
      </c>
      <c r="AG175" s="119">
        <f t="shared" si="59"/>
        <v>0</v>
      </c>
      <c r="AH175" s="119">
        <f t="shared" si="59"/>
        <v>0</v>
      </c>
      <c r="AI175" s="119">
        <f t="shared" si="59"/>
        <v>0</v>
      </c>
      <c r="AJ175" s="119">
        <f t="shared" si="59"/>
        <v>0</v>
      </c>
      <c r="AK175" s="119">
        <f t="shared" si="59"/>
        <v>0</v>
      </c>
      <c r="AL175" s="119">
        <f t="shared" si="59"/>
        <v>0</v>
      </c>
      <c r="AM175" s="119">
        <f t="shared" si="59"/>
        <v>0</v>
      </c>
      <c r="AN175" s="119">
        <f t="shared" si="59"/>
        <v>0</v>
      </c>
      <c r="AO175" s="119">
        <f t="shared" si="59"/>
        <v>0</v>
      </c>
      <c r="AP175" s="119">
        <f>AP605</f>
        <v>0</v>
      </c>
    </row>
    <row r="176" spans="1:42" x14ac:dyDescent="0.2">
      <c r="A176" s="22" t="s">
        <v>4</v>
      </c>
      <c r="B176" s="120">
        <f>B610</f>
        <v>0</v>
      </c>
      <c r="C176" s="120">
        <f t="shared" ref="C176:AO176" si="60">C610</f>
        <v>0</v>
      </c>
      <c r="D176" s="120">
        <f t="shared" si="60"/>
        <v>0</v>
      </c>
      <c r="E176" s="120">
        <f t="shared" si="60"/>
        <v>0</v>
      </c>
      <c r="F176" s="120">
        <f t="shared" si="60"/>
        <v>0</v>
      </c>
      <c r="G176" s="120">
        <f t="shared" si="60"/>
        <v>0</v>
      </c>
      <c r="H176" s="120">
        <f t="shared" si="60"/>
        <v>0</v>
      </c>
      <c r="I176" s="120">
        <f t="shared" si="60"/>
        <v>0</v>
      </c>
      <c r="J176" s="120">
        <f t="shared" si="60"/>
        <v>0</v>
      </c>
      <c r="K176" s="120">
        <f t="shared" si="60"/>
        <v>0</v>
      </c>
      <c r="L176" s="120">
        <f t="shared" si="60"/>
        <v>0</v>
      </c>
      <c r="M176" s="120">
        <f t="shared" si="60"/>
        <v>0</v>
      </c>
      <c r="N176" s="120">
        <f t="shared" si="60"/>
        <v>0</v>
      </c>
      <c r="O176" s="120">
        <f t="shared" si="60"/>
        <v>0</v>
      </c>
      <c r="P176" s="120">
        <f t="shared" si="60"/>
        <v>0</v>
      </c>
      <c r="Q176" s="120">
        <f t="shared" si="60"/>
        <v>0</v>
      </c>
      <c r="R176" s="120">
        <f t="shared" si="60"/>
        <v>0</v>
      </c>
      <c r="S176" s="120">
        <f t="shared" si="60"/>
        <v>0</v>
      </c>
      <c r="T176" s="120">
        <f t="shared" si="60"/>
        <v>0</v>
      </c>
      <c r="U176" s="120">
        <f t="shared" si="60"/>
        <v>0</v>
      </c>
      <c r="V176" s="120">
        <f t="shared" si="60"/>
        <v>0</v>
      </c>
      <c r="W176" s="120">
        <f t="shared" si="60"/>
        <v>0</v>
      </c>
      <c r="X176" s="120">
        <f t="shared" si="60"/>
        <v>0</v>
      </c>
      <c r="Y176" s="120">
        <f t="shared" si="60"/>
        <v>0</v>
      </c>
      <c r="Z176" s="120">
        <f t="shared" si="60"/>
        <v>0</v>
      </c>
      <c r="AA176" s="120">
        <f t="shared" si="60"/>
        <v>0</v>
      </c>
      <c r="AB176" s="120">
        <f t="shared" si="60"/>
        <v>0</v>
      </c>
      <c r="AC176" s="120">
        <f t="shared" si="60"/>
        <v>0</v>
      </c>
      <c r="AD176" s="120">
        <f t="shared" si="60"/>
        <v>0</v>
      </c>
      <c r="AE176" s="120">
        <f t="shared" si="60"/>
        <v>0</v>
      </c>
      <c r="AF176" s="120">
        <f t="shared" si="60"/>
        <v>0</v>
      </c>
      <c r="AG176" s="120">
        <f t="shared" si="60"/>
        <v>0</v>
      </c>
      <c r="AH176" s="120">
        <f t="shared" si="60"/>
        <v>0</v>
      </c>
      <c r="AI176" s="120">
        <f t="shared" si="60"/>
        <v>0</v>
      </c>
      <c r="AJ176" s="120">
        <f t="shared" si="60"/>
        <v>0</v>
      </c>
      <c r="AK176" s="120">
        <f t="shared" si="60"/>
        <v>0</v>
      </c>
      <c r="AL176" s="120">
        <f t="shared" si="60"/>
        <v>0</v>
      </c>
      <c r="AM176" s="120">
        <f t="shared" si="60"/>
        <v>0</v>
      </c>
      <c r="AN176" s="120">
        <f t="shared" si="60"/>
        <v>0</v>
      </c>
      <c r="AO176" s="120">
        <f t="shared" si="60"/>
        <v>0</v>
      </c>
      <c r="AP176" s="120">
        <f>AP610</f>
        <v>0</v>
      </c>
    </row>
    <row r="177" spans="1:42" x14ac:dyDescent="0.2">
      <c r="A177" s="22" t="s">
        <v>331</v>
      </c>
      <c r="B177" s="119">
        <f>SUM(B175:B176)</f>
        <v>0</v>
      </c>
      <c r="C177" s="119">
        <f>SUM(C175:C176)</f>
        <v>0</v>
      </c>
      <c r="D177" s="119">
        <f>SUM(D175:D176)</f>
        <v>0</v>
      </c>
      <c r="E177" s="119">
        <f t="shared" ref="E177:AP177" si="61">SUM(E175:E176)</f>
        <v>0</v>
      </c>
      <c r="F177" s="119">
        <f t="shared" si="61"/>
        <v>0</v>
      </c>
      <c r="G177" s="119">
        <f t="shared" si="61"/>
        <v>0</v>
      </c>
      <c r="H177" s="119">
        <f t="shared" si="61"/>
        <v>0</v>
      </c>
      <c r="I177" s="119">
        <f t="shared" si="61"/>
        <v>0</v>
      </c>
      <c r="J177" s="119">
        <f t="shared" si="61"/>
        <v>0</v>
      </c>
      <c r="K177" s="119">
        <f t="shared" si="61"/>
        <v>0</v>
      </c>
      <c r="L177" s="119">
        <f t="shared" si="61"/>
        <v>0</v>
      </c>
      <c r="M177" s="119">
        <f t="shared" si="61"/>
        <v>0</v>
      </c>
      <c r="N177" s="119">
        <f t="shared" si="61"/>
        <v>0</v>
      </c>
      <c r="O177" s="119">
        <f t="shared" si="61"/>
        <v>0</v>
      </c>
      <c r="P177" s="119">
        <f t="shared" si="61"/>
        <v>0</v>
      </c>
      <c r="Q177" s="119">
        <f t="shared" si="61"/>
        <v>0</v>
      </c>
      <c r="R177" s="119">
        <f t="shared" si="61"/>
        <v>0</v>
      </c>
      <c r="S177" s="119">
        <f t="shared" si="61"/>
        <v>0</v>
      </c>
      <c r="T177" s="119">
        <f t="shared" si="61"/>
        <v>0</v>
      </c>
      <c r="U177" s="119">
        <f t="shared" si="61"/>
        <v>0</v>
      </c>
      <c r="V177" s="119">
        <f t="shared" si="61"/>
        <v>0</v>
      </c>
      <c r="W177" s="119">
        <f t="shared" si="61"/>
        <v>0</v>
      </c>
      <c r="X177" s="119">
        <f t="shared" si="61"/>
        <v>0</v>
      </c>
      <c r="Y177" s="119">
        <f t="shared" si="61"/>
        <v>0</v>
      </c>
      <c r="Z177" s="119">
        <f t="shared" si="61"/>
        <v>0</v>
      </c>
      <c r="AA177" s="119">
        <f t="shared" si="61"/>
        <v>0</v>
      </c>
      <c r="AB177" s="119">
        <f t="shared" si="61"/>
        <v>0</v>
      </c>
      <c r="AC177" s="119">
        <f t="shared" si="61"/>
        <v>0</v>
      </c>
      <c r="AD177" s="119">
        <f t="shared" si="61"/>
        <v>0</v>
      </c>
      <c r="AE177" s="119">
        <f t="shared" si="61"/>
        <v>0</v>
      </c>
      <c r="AF177" s="119">
        <f t="shared" si="61"/>
        <v>0</v>
      </c>
      <c r="AG177" s="119">
        <f t="shared" si="61"/>
        <v>0</v>
      </c>
      <c r="AH177" s="119">
        <f t="shared" si="61"/>
        <v>0</v>
      </c>
      <c r="AI177" s="119">
        <f t="shared" si="61"/>
        <v>0</v>
      </c>
      <c r="AJ177" s="119">
        <f t="shared" si="61"/>
        <v>0</v>
      </c>
      <c r="AK177" s="119">
        <f t="shared" si="61"/>
        <v>0</v>
      </c>
      <c r="AL177" s="119">
        <f t="shared" si="61"/>
        <v>0</v>
      </c>
      <c r="AM177" s="119">
        <f t="shared" si="61"/>
        <v>0</v>
      </c>
      <c r="AN177" s="119">
        <f t="shared" si="61"/>
        <v>0</v>
      </c>
      <c r="AO177" s="119">
        <f t="shared" si="61"/>
        <v>0</v>
      </c>
      <c r="AP177" s="119">
        <f t="shared" si="61"/>
        <v>0</v>
      </c>
    </row>
    <row r="178" spans="1:42" x14ac:dyDescent="0.2">
      <c r="A178" s="18" t="s">
        <v>67</v>
      </c>
    </row>
    <row r="179" spans="1:42" x14ac:dyDescent="0.2">
      <c r="A179" s="22" t="s">
        <v>5</v>
      </c>
      <c r="B179" s="119">
        <f>B277</f>
        <v>0</v>
      </c>
      <c r="C179" s="119">
        <f>C277</f>
        <v>935949.67625842139</v>
      </c>
      <c r="D179" s="119">
        <f t="shared" ref="D179:AP179" si="62">D277</f>
        <v>1674992.7407950198</v>
      </c>
      <c r="E179" s="119">
        <f t="shared" si="62"/>
        <v>908040.91854580643</v>
      </c>
      <c r="F179" s="119">
        <f t="shared" si="62"/>
        <v>448365.18395652366</v>
      </c>
      <c r="G179" s="119">
        <f t="shared" si="62"/>
        <v>449470.79990397632</v>
      </c>
      <c r="H179" s="119">
        <f t="shared" si="62"/>
        <v>105344.33972337724</v>
      </c>
      <c r="I179" s="119">
        <f t="shared" si="62"/>
        <v>-238228.9335139709</v>
      </c>
      <c r="J179" s="119">
        <f t="shared" si="62"/>
        <v>-235862.09202598169</v>
      </c>
      <c r="K179" s="119">
        <f t="shared" si="62"/>
        <v>-233358.54597980241</v>
      </c>
      <c r="L179" s="119">
        <f t="shared" si="62"/>
        <v>-230751.09634003413</v>
      </c>
      <c r="M179" s="119">
        <f t="shared" si="62"/>
        <v>-227989.45849594221</v>
      </c>
      <c r="N179" s="119">
        <f t="shared" si="62"/>
        <v>-225136.24267098968</v>
      </c>
      <c r="O179" s="119">
        <f t="shared" si="62"/>
        <v>-222082.91830022808</v>
      </c>
      <c r="P179" s="119">
        <f t="shared" si="62"/>
        <v>-218951.435396135</v>
      </c>
      <c r="Q179" s="119">
        <f t="shared" si="62"/>
        <v>-17807.530722808729</v>
      </c>
      <c r="R179" s="119">
        <f t="shared" si="62"/>
        <v>40746.970696942612</v>
      </c>
      <c r="S179" s="119">
        <f t="shared" si="62"/>
        <v>-91419.196128022522</v>
      </c>
      <c r="T179" s="119">
        <f t="shared" si="62"/>
        <v>-162794.38634474552</v>
      </c>
      <c r="U179" s="119">
        <f t="shared" si="62"/>
        <v>-158048.59838581947</v>
      </c>
      <c r="V179" s="119">
        <f t="shared" si="62"/>
        <v>-210111.12106945124</v>
      </c>
      <c r="W179" s="119">
        <f t="shared" si="62"/>
        <v>-267885.53297484835</v>
      </c>
      <c r="X179" s="119">
        <f t="shared" si="62"/>
        <v>-268517.79187812319</v>
      </c>
      <c r="Y179" s="119">
        <f t="shared" si="62"/>
        <v>-263095.26811580476</v>
      </c>
      <c r="Z179" s="119">
        <f t="shared" si="62"/>
        <v>-257493.75558824305</v>
      </c>
      <c r="AA179" s="119">
        <f t="shared" si="62"/>
        <v>-254081.33677171025</v>
      </c>
      <c r="AB179" s="119">
        <f t="shared" si="62"/>
        <v>0</v>
      </c>
      <c r="AC179" s="119">
        <f t="shared" si="62"/>
        <v>0</v>
      </c>
      <c r="AD179" s="119">
        <f t="shared" si="62"/>
        <v>0</v>
      </c>
      <c r="AE179" s="119">
        <f t="shared" si="62"/>
        <v>0</v>
      </c>
      <c r="AF179" s="119">
        <f t="shared" si="62"/>
        <v>0</v>
      </c>
      <c r="AG179" s="119">
        <f t="shared" si="62"/>
        <v>0</v>
      </c>
      <c r="AH179" s="119">
        <f t="shared" si="62"/>
        <v>0</v>
      </c>
      <c r="AI179" s="119">
        <f t="shared" si="62"/>
        <v>0</v>
      </c>
      <c r="AJ179" s="119">
        <f t="shared" si="62"/>
        <v>0</v>
      </c>
      <c r="AK179" s="119">
        <f t="shared" si="62"/>
        <v>0</v>
      </c>
      <c r="AL179" s="119">
        <f t="shared" si="62"/>
        <v>0</v>
      </c>
      <c r="AM179" s="119">
        <f t="shared" si="62"/>
        <v>0</v>
      </c>
      <c r="AN179" s="119">
        <f t="shared" si="62"/>
        <v>0</v>
      </c>
      <c r="AO179" s="119">
        <f t="shared" si="62"/>
        <v>0</v>
      </c>
      <c r="AP179" s="119">
        <f t="shared" si="62"/>
        <v>0</v>
      </c>
    </row>
    <row r="180" spans="1:42" x14ac:dyDescent="0.2">
      <c r="A180" s="22" t="s">
        <v>4</v>
      </c>
      <c r="B180" s="119">
        <f>B309</f>
        <v>0</v>
      </c>
      <c r="C180" s="119">
        <f>C309</f>
        <v>2611299.5967609962</v>
      </c>
      <c r="D180" s="119">
        <f t="shared" ref="D180:AP180" si="63">D309</f>
        <v>4673229.7468181057</v>
      </c>
      <c r="E180" s="119">
        <f t="shared" si="63"/>
        <v>2533434.1627427996</v>
      </c>
      <c r="F180" s="119">
        <f t="shared" si="63"/>
        <v>1250938.8632387011</v>
      </c>
      <c r="G180" s="119">
        <f t="shared" si="63"/>
        <v>1254023.5317320938</v>
      </c>
      <c r="H180" s="119">
        <f t="shared" si="63"/>
        <v>293910.70782822254</v>
      </c>
      <c r="I180" s="119">
        <f t="shared" si="63"/>
        <v>-664658.72450397874</v>
      </c>
      <c r="J180" s="119">
        <f t="shared" si="63"/>
        <v>-658055.23675248888</v>
      </c>
      <c r="K180" s="119">
        <f t="shared" si="63"/>
        <v>-651070.34328364884</v>
      </c>
      <c r="L180" s="119">
        <f t="shared" si="63"/>
        <v>-643795.55878869514</v>
      </c>
      <c r="M180" s="119">
        <f t="shared" si="63"/>
        <v>-636090.58920367865</v>
      </c>
      <c r="N180" s="119">
        <f t="shared" si="63"/>
        <v>-628130.11705206113</v>
      </c>
      <c r="O180" s="119">
        <f t="shared" si="63"/>
        <v>-619611.34205763636</v>
      </c>
      <c r="P180" s="119">
        <f t="shared" si="63"/>
        <v>-610874.50475521665</v>
      </c>
      <c r="Q180" s="119">
        <f t="shared" si="63"/>
        <v>-49683.01071663636</v>
      </c>
      <c r="R180" s="119">
        <f t="shared" si="63"/>
        <v>113684.04824446987</v>
      </c>
      <c r="S180" s="119">
        <f t="shared" si="63"/>
        <v>-255059.55719718282</v>
      </c>
      <c r="T180" s="119">
        <f t="shared" si="63"/>
        <v>-454196.33790184004</v>
      </c>
      <c r="U180" s="119">
        <f t="shared" si="63"/>
        <v>-440955.5894964363</v>
      </c>
      <c r="V180" s="119">
        <f t="shared" si="63"/>
        <v>-586210.02778376895</v>
      </c>
      <c r="W180" s="119">
        <f t="shared" si="63"/>
        <v>-747400.63699982688</v>
      </c>
      <c r="X180" s="119">
        <f t="shared" si="63"/>
        <v>-749164.63933996367</v>
      </c>
      <c r="Y180" s="119">
        <f t="shared" si="63"/>
        <v>-734035.79804309527</v>
      </c>
      <c r="Z180" s="119">
        <f t="shared" si="63"/>
        <v>-718407.57809119811</v>
      </c>
      <c r="AA180" s="119">
        <f t="shared" si="63"/>
        <v>-708886.92959307146</v>
      </c>
      <c r="AB180" s="119">
        <f t="shared" si="63"/>
        <v>0</v>
      </c>
      <c r="AC180" s="119">
        <f t="shared" si="63"/>
        <v>0</v>
      </c>
      <c r="AD180" s="119">
        <f t="shared" si="63"/>
        <v>0</v>
      </c>
      <c r="AE180" s="119">
        <f t="shared" si="63"/>
        <v>0</v>
      </c>
      <c r="AF180" s="119">
        <f t="shared" si="63"/>
        <v>0</v>
      </c>
      <c r="AG180" s="119">
        <f t="shared" si="63"/>
        <v>0</v>
      </c>
      <c r="AH180" s="119">
        <f t="shared" si="63"/>
        <v>0</v>
      </c>
      <c r="AI180" s="119">
        <f t="shared" si="63"/>
        <v>0</v>
      </c>
      <c r="AJ180" s="119">
        <f t="shared" si="63"/>
        <v>0</v>
      </c>
      <c r="AK180" s="119">
        <f t="shared" si="63"/>
        <v>0</v>
      </c>
      <c r="AL180" s="119">
        <f t="shared" si="63"/>
        <v>0</v>
      </c>
      <c r="AM180" s="119">
        <f t="shared" si="63"/>
        <v>0</v>
      </c>
      <c r="AN180" s="119">
        <f t="shared" si="63"/>
        <v>0</v>
      </c>
      <c r="AO180" s="119">
        <f t="shared" si="63"/>
        <v>0</v>
      </c>
      <c r="AP180" s="119">
        <f t="shared" si="63"/>
        <v>0</v>
      </c>
    </row>
    <row r="181" spans="1:42" x14ac:dyDescent="0.2">
      <c r="A181" s="22" t="s">
        <v>332</v>
      </c>
      <c r="B181" s="119">
        <f>SUM(B179:B180)</f>
        <v>0</v>
      </c>
      <c r="C181" s="119">
        <f>SUM(C179:C180)</f>
        <v>3547249.2730194177</v>
      </c>
      <c r="D181" s="119">
        <f>SUM(D179:D180)</f>
        <v>6348222.4876131257</v>
      </c>
      <c r="E181" s="119">
        <f t="shared" ref="E181:AP181" si="64">SUM(E179:E180)</f>
        <v>3441475.0812886059</v>
      </c>
      <c r="F181" s="119">
        <f t="shared" si="64"/>
        <v>1699304.0471952248</v>
      </c>
      <c r="G181" s="119">
        <f t="shared" si="64"/>
        <v>1703494.33163607</v>
      </c>
      <c r="H181" s="119">
        <f t="shared" si="64"/>
        <v>399255.0475515998</v>
      </c>
      <c r="I181" s="119">
        <f t="shared" si="64"/>
        <v>-902887.65801794967</v>
      </c>
      <c r="J181" s="119">
        <f t="shared" si="64"/>
        <v>-893917.32877847063</v>
      </c>
      <c r="K181" s="119">
        <f t="shared" si="64"/>
        <v>-884428.88926345122</v>
      </c>
      <c r="L181" s="119">
        <f t="shared" si="64"/>
        <v>-874546.6551287293</v>
      </c>
      <c r="M181" s="119">
        <f t="shared" si="64"/>
        <v>-864080.04769962083</v>
      </c>
      <c r="N181" s="119">
        <f t="shared" si="64"/>
        <v>-853266.35972305085</v>
      </c>
      <c r="O181" s="119">
        <f t="shared" si="64"/>
        <v>-841694.26035786443</v>
      </c>
      <c r="P181" s="119">
        <f t="shared" si="64"/>
        <v>-829825.94015135162</v>
      </c>
      <c r="Q181" s="119">
        <f t="shared" si="64"/>
        <v>-67490.541439445093</v>
      </c>
      <c r="R181" s="119">
        <f t="shared" si="64"/>
        <v>154431.01894141248</v>
      </c>
      <c r="S181" s="119">
        <f t="shared" si="64"/>
        <v>-346478.75332520535</v>
      </c>
      <c r="T181" s="119">
        <f t="shared" si="64"/>
        <v>-616990.72424658551</v>
      </c>
      <c r="U181" s="119">
        <f t="shared" si="64"/>
        <v>-599004.18788225576</v>
      </c>
      <c r="V181" s="119">
        <f t="shared" si="64"/>
        <v>-796321.14885322016</v>
      </c>
      <c r="W181" s="119">
        <f t="shared" si="64"/>
        <v>-1015286.1699746752</v>
      </c>
      <c r="X181" s="119">
        <f t="shared" si="64"/>
        <v>-1017682.4312180869</v>
      </c>
      <c r="Y181" s="119">
        <f t="shared" si="64"/>
        <v>-997131.06615890004</v>
      </c>
      <c r="Z181" s="119">
        <f t="shared" si="64"/>
        <v>-975901.33367944113</v>
      </c>
      <c r="AA181" s="119">
        <f t="shared" si="64"/>
        <v>-962968.26636478165</v>
      </c>
      <c r="AB181" s="119">
        <f t="shared" si="64"/>
        <v>0</v>
      </c>
      <c r="AC181" s="119">
        <f t="shared" si="64"/>
        <v>0</v>
      </c>
      <c r="AD181" s="119">
        <f t="shared" si="64"/>
        <v>0</v>
      </c>
      <c r="AE181" s="119">
        <f t="shared" si="64"/>
        <v>0</v>
      </c>
      <c r="AF181" s="119">
        <f t="shared" si="64"/>
        <v>0</v>
      </c>
      <c r="AG181" s="119">
        <f t="shared" si="64"/>
        <v>0</v>
      </c>
      <c r="AH181" s="119">
        <f t="shared" si="64"/>
        <v>0</v>
      </c>
      <c r="AI181" s="119">
        <f t="shared" si="64"/>
        <v>0</v>
      </c>
      <c r="AJ181" s="119">
        <f t="shared" si="64"/>
        <v>0</v>
      </c>
      <c r="AK181" s="119">
        <f t="shared" si="64"/>
        <v>0</v>
      </c>
      <c r="AL181" s="119">
        <f t="shared" si="64"/>
        <v>0</v>
      </c>
      <c r="AM181" s="119">
        <f t="shared" si="64"/>
        <v>0</v>
      </c>
      <c r="AN181" s="119">
        <f t="shared" si="64"/>
        <v>0</v>
      </c>
      <c r="AO181" s="119">
        <f t="shared" si="64"/>
        <v>0</v>
      </c>
      <c r="AP181" s="119">
        <f t="shared" si="64"/>
        <v>0</v>
      </c>
    </row>
    <row r="182" spans="1:42" x14ac:dyDescent="0.2">
      <c r="A182" s="205" t="s">
        <v>13</v>
      </c>
      <c r="B182" s="137">
        <f t="shared" ref="B182:AP182" si="65">B166+B173+B177+B181</f>
        <v>-111989777.5</v>
      </c>
      <c r="C182" s="137">
        <f t="shared" si="65"/>
        <v>37809431.650703572</v>
      </c>
      <c r="D182" s="137">
        <f t="shared" si="65"/>
        <v>10349165.347138731</v>
      </c>
      <c r="E182" s="137">
        <f t="shared" si="65"/>
        <v>7416874.9882806577</v>
      </c>
      <c r="F182" s="137">
        <f t="shared" si="65"/>
        <v>5647598.0582943503</v>
      </c>
      <c r="G182" s="137">
        <f t="shared" si="65"/>
        <v>5623059.0098989094</v>
      </c>
      <c r="H182" s="137">
        <f t="shared" si="65"/>
        <v>4288435.5317112096</v>
      </c>
      <c r="I182" s="137">
        <f t="shared" si="65"/>
        <v>2954221.3940718132</v>
      </c>
      <c r="J182" s="137">
        <f t="shared" si="65"/>
        <v>2929379.7020543041</v>
      </c>
      <c r="K182" s="137">
        <f t="shared" si="65"/>
        <v>2903271.1827187263</v>
      </c>
      <c r="L182" s="137">
        <f t="shared" si="65"/>
        <v>2875736.1516190795</v>
      </c>
      <c r="M182" s="137">
        <f t="shared" si="65"/>
        <v>2846918.7745131245</v>
      </c>
      <c r="N182" s="137">
        <f t="shared" si="65"/>
        <v>2816524.2773089446</v>
      </c>
      <c r="O182" s="137">
        <f t="shared" si="65"/>
        <v>2784925.4162018225</v>
      </c>
      <c r="P182" s="137">
        <f t="shared" si="65"/>
        <v>2751610.3072398631</v>
      </c>
      <c r="Q182" s="137">
        <f t="shared" si="65"/>
        <v>3466688.9698669617</v>
      </c>
      <c r="R182" s="137">
        <f t="shared" si="65"/>
        <v>4404619.2972350698</v>
      </c>
      <c r="S182" s="137">
        <f t="shared" si="65"/>
        <v>3840404.1653090334</v>
      </c>
      <c r="T182" s="137">
        <f t="shared" si="65"/>
        <v>3504373.8744044146</v>
      </c>
      <c r="U182" s="137">
        <f t="shared" si="65"/>
        <v>3454563.4399269437</v>
      </c>
      <c r="V182" s="137">
        <f t="shared" si="65"/>
        <v>3187123.8821269725</v>
      </c>
      <c r="W182" s="137">
        <f t="shared" si="65"/>
        <v>2895642.3485053014</v>
      </c>
      <c r="X182" s="137">
        <f t="shared" si="65"/>
        <v>2818286.0241836729</v>
      </c>
      <c r="Y182" s="137">
        <f t="shared" si="65"/>
        <v>2761372.7640668824</v>
      </c>
      <c r="Z182" s="137">
        <f t="shared" si="65"/>
        <v>2702580.8890097449</v>
      </c>
      <c r="AA182" s="137">
        <f t="shared" si="65"/>
        <v>2666765.1160882218</v>
      </c>
      <c r="AB182" s="137">
        <f t="shared" si="65"/>
        <v>0</v>
      </c>
      <c r="AC182" s="137">
        <f t="shared" si="65"/>
        <v>0</v>
      </c>
      <c r="AD182" s="137">
        <f t="shared" si="65"/>
        <v>0</v>
      </c>
      <c r="AE182" s="137">
        <f t="shared" si="65"/>
        <v>0</v>
      </c>
      <c r="AF182" s="137">
        <f t="shared" si="65"/>
        <v>0</v>
      </c>
      <c r="AG182" s="137">
        <f t="shared" si="65"/>
        <v>0</v>
      </c>
      <c r="AH182" s="137">
        <f t="shared" si="65"/>
        <v>0</v>
      </c>
      <c r="AI182" s="137">
        <f t="shared" si="65"/>
        <v>0</v>
      </c>
      <c r="AJ182" s="137">
        <f t="shared" si="65"/>
        <v>0</v>
      </c>
      <c r="AK182" s="137">
        <f t="shared" si="65"/>
        <v>0</v>
      </c>
      <c r="AL182" s="137">
        <f t="shared" si="65"/>
        <v>0</v>
      </c>
      <c r="AM182" s="137">
        <f t="shared" si="65"/>
        <v>0</v>
      </c>
      <c r="AN182" s="137">
        <f t="shared" si="65"/>
        <v>0</v>
      </c>
      <c r="AO182" s="137">
        <f t="shared" si="65"/>
        <v>0</v>
      </c>
      <c r="AP182" s="137">
        <f t="shared" si="65"/>
        <v>0</v>
      </c>
    </row>
    <row r="183" spans="1:42" x14ac:dyDescent="0.2">
      <c r="A183" s="87"/>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row>
    <row r="184" spans="1:42" x14ac:dyDescent="0.2">
      <c r="A184" s="18" t="s">
        <v>318</v>
      </c>
      <c r="B184" s="103"/>
      <c r="C184" s="103">
        <f>IF(ISERROR(IRR($B182:C182)),"NaN",ROUND(IRR($B182:C182)*100,4))</f>
        <v>-66.238500000000002</v>
      </c>
      <c r="D184" s="103">
        <f>IF(ISERROR(IRR($B182:D182)),"NaN",ROUND(IRR($B182:D182)*100,4))</f>
        <v>-48.347499999999997</v>
      </c>
      <c r="E184" s="103">
        <f>IF(ISERROR(IRR($B182:E182)),"NaN",ROUND(IRR($B182:E182)*100,4))</f>
        <v>-35.785899999999998</v>
      </c>
      <c r="F184" s="103">
        <f>IF(ISERROR(IRR($B182:F182)),"NaN",ROUND(IRR($B182:F182)*100,4))</f>
        <v>-27.576599999999999</v>
      </c>
      <c r="G184" s="103">
        <f>IF(ISERROR(IRR($B182:G182)),"NaN",ROUND(IRR($B182:G182)*100,4))</f>
        <v>-20.922499999999999</v>
      </c>
      <c r="H184" s="103">
        <f>IF(ISERROR(IRR($B182:H182)),"NaN",ROUND(IRR($B182:H182)*100,4))</f>
        <v>-16.772500000000001</v>
      </c>
      <c r="I184" s="103">
        <f>IF(ISERROR(IRR($B182:I182)),"NaN",ROUND(IRR($B182:I182)*100,4))</f>
        <v>-14.2585</v>
      </c>
      <c r="J184" s="103">
        <f>IF(ISERROR(IRR($B182:J182)),"NaN",ROUND(IRR($B182:J182)*100,4))</f>
        <v>-12.023099999999999</v>
      </c>
      <c r="K184" s="103">
        <f>IF(ISERROR(IRR($B182:K182)),"NaN",ROUND(IRR($B182:K182)*100,4))</f>
        <v>-10.080500000000001</v>
      </c>
      <c r="L184" s="103">
        <f>IF(ISERROR(IRR($B182:L182)),"NaN",ROUND(IRR($B182:L182)*100,4))</f>
        <v>-8.4101999999999997</v>
      </c>
      <c r="M184" s="103">
        <f>IF(ISERROR(IRR($B182:M182)),"NaN",ROUND(IRR($B182:M182)*100,4))</f>
        <v>-6.9790000000000001</v>
      </c>
      <c r="N184" s="103">
        <f>IF(ISERROR(IRR($B182:N182)),"NaN",ROUND(IRR($B182:N182)*100,4))</f>
        <v>-5.7523999999999997</v>
      </c>
      <c r="O184" s="103">
        <f>IF(ISERROR(IRR($B182:O182)),"NaN",ROUND(IRR($B182:O182)*100,4))</f>
        <v>-4.6982999999999997</v>
      </c>
      <c r="P184" s="103">
        <f>IF(ISERROR(IRR($B182:P182)),"NaN",ROUND(IRR($B182:P182)*100,4))</f>
        <v>-3.7894000000000001</v>
      </c>
      <c r="Q184" s="103">
        <f>IF(ISERROR(IRR($B182:Q182)),"NaN",ROUND(IRR($B182:Q182)*100,4))</f>
        <v>-2.8058999999999998</v>
      </c>
      <c r="R184" s="103">
        <f>IF(ISERROR(IRR($B182:R182)),"NaN",ROUND(IRR($B182:R182)*100,4))</f>
        <v>-1.7688999999999999</v>
      </c>
      <c r="S184" s="103">
        <f>IF(ISERROR(IRR($B182:S182)),"NaN",ROUND(IRR($B182:S182)*100,4))</f>
        <v>-1.0134000000000001</v>
      </c>
      <c r="T184" s="103">
        <f>IF(ISERROR(IRR($B182:T182)),"NaN",ROUND(IRR($B182:T182)*100,4))</f>
        <v>-0.41820000000000002</v>
      </c>
      <c r="U184" s="103">
        <f>IF(ISERROR(IRR($B182:U182)),"NaN",ROUND(IRR($B182:U182)*100,4))</f>
        <v>9.5799999999999996E-2</v>
      </c>
      <c r="V184" s="103">
        <f>IF(ISERROR(IRR($B182:V182)),"NaN",ROUND(IRR($B182:V182)*100,4))</f>
        <v>0.51549999999999996</v>
      </c>
      <c r="W184" s="103">
        <f>IF(ISERROR(IRR($B182:W182)),"NaN",ROUND(IRR($B182:W182)*100,4))</f>
        <v>0.85760000000000003</v>
      </c>
      <c r="X184" s="103">
        <f>IF(ISERROR(IRR($B182:X182)),"NaN",ROUND(IRR($B182:X182)*100,4))</f>
        <v>1.1585000000000001</v>
      </c>
      <c r="Y184" s="103">
        <f>IF(ISERROR(IRR($B182:Y182)),"NaN",ROUND(IRR($B182:Y182)*100,4))</f>
        <v>1.4259999999999999</v>
      </c>
      <c r="Z184" s="103">
        <f>IF(ISERROR(IRR($B182:Z182)),"NaN",ROUND(IRR($B182:Z182)*100,4))</f>
        <v>1.6642999999999999</v>
      </c>
      <c r="AA184" s="103">
        <f>IF(ISERROR(IRR($B182:AA182)),"NaN",ROUND(IRR($B182:AA182)*100,4))</f>
        <v>1.8789</v>
      </c>
      <c r="AB184" s="103">
        <f>IF(ISERROR(IRR($B182:AB182)),"NaN",ROUND(IRR($B182:AB182)*100,4))</f>
        <v>1.8789</v>
      </c>
      <c r="AC184" s="103">
        <f>IF(ISERROR(IRR($B182:AC182)),"NaN",ROUND(IRR($B182:AC182)*100,4))</f>
        <v>1.8789</v>
      </c>
      <c r="AD184" s="103">
        <f>IF(ISERROR(IRR($B182:AD182)),"NaN",ROUND(IRR($B182:AD182)*100,4))</f>
        <v>1.8789</v>
      </c>
      <c r="AE184" s="103">
        <f>IF(ISERROR(IRR($B182:AE182)),"NaN",ROUND(IRR($B182:AE182)*100,4))</f>
        <v>1.8789</v>
      </c>
      <c r="AF184" s="103">
        <f>IF(ISERROR(IRR($B182:AF182)),"NaN",ROUND(IRR($B182:AF182)*100,4))</f>
        <v>1.8789</v>
      </c>
      <c r="AG184" s="103">
        <f>IF(ISERROR(IRR($B182:AG182)),"NaN",ROUND(IRR($B182:AG182)*100,4))</f>
        <v>1.8789</v>
      </c>
      <c r="AH184" s="103">
        <f>IF(ISERROR(IRR($B182:AH182)),"NaN",ROUND(IRR($B182:AH182)*100,4))</f>
        <v>1.8789</v>
      </c>
      <c r="AI184" s="103">
        <f>IF(ISERROR(IRR($B182:AI182)),"NaN",ROUND(IRR($B182:AI182)*100,4))</f>
        <v>1.8789</v>
      </c>
      <c r="AJ184" s="103">
        <f>IF(ISERROR(IRR($B182:AJ182)),"NaN",ROUND(IRR($B182:AJ182)*100,4))</f>
        <v>1.8789</v>
      </c>
      <c r="AK184" s="103">
        <f>IF(ISERROR(IRR($B182:AK182)),"NaN",ROUND(IRR($B182:AK182)*100,4))</f>
        <v>1.8789</v>
      </c>
      <c r="AL184" s="103">
        <f>IF(ISERROR(IRR($B182:AL182)),"NaN",ROUND(IRR($B182:AL182)*100,4))</f>
        <v>1.8789</v>
      </c>
      <c r="AM184" s="103">
        <f>IF(ISERROR(IRR($B182:AM182)),"NaN",ROUND(IRR($B182:AM182)*100,4))</f>
        <v>1.8789</v>
      </c>
      <c r="AN184" s="103">
        <f>IF(ISERROR(IRR($B182:AN182)),"NaN",ROUND(IRR($B182:AN182)*100,4))</f>
        <v>1.8789</v>
      </c>
      <c r="AO184" s="103">
        <f>IF(ISERROR(IRR($B182:AO182)),"NaN",ROUND(IRR($B182:AO182)*100,4))</f>
        <v>1.8789</v>
      </c>
      <c r="AP184" s="103">
        <f>IF(ISERROR(IRR($B182:AP182)),"NaN",ROUND(IRR($B182:AP182)*100,4))</f>
        <v>1.8789</v>
      </c>
    </row>
    <row r="185" spans="1:42" x14ac:dyDescent="0.2">
      <c r="A185" s="87" t="s">
        <v>8</v>
      </c>
      <c r="B185" s="103"/>
      <c r="C185" s="103">
        <f>MAX($B$184:C$184)</f>
        <v>-66.238500000000002</v>
      </c>
      <c r="D185" s="103">
        <f>MAX($B$184:D$184)</f>
        <v>-48.347499999999997</v>
      </c>
      <c r="E185" s="103">
        <f>MAX($B$184:E$184)</f>
        <v>-35.785899999999998</v>
      </c>
      <c r="F185" s="103">
        <f>MAX($B$184:F$184)</f>
        <v>-27.576599999999999</v>
      </c>
      <c r="G185" s="103">
        <f>MAX($B$184:G$184)</f>
        <v>-20.922499999999999</v>
      </c>
      <c r="H185" s="103">
        <f>MAX($B$184:H$184)</f>
        <v>-16.772500000000001</v>
      </c>
      <c r="I185" s="103">
        <f>MAX($B$184:I$184)</f>
        <v>-14.2585</v>
      </c>
      <c r="J185" s="103">
        <f>MAX($B$184:J$184)</f>
        <v>-12.023099999999999</v>
      </c>
      <c r="K185" s="103">
        <f>MAX($B$184:K$184)</f>
        <v>-10.080500000000001</v>
      </c>
      <c r="L185" s="103">
        <f>MAX($B$184:L$184)</f>
        <v>-8.4101999999999997</v>
      </c>
      <c r="M185" s="103">
        <f>MAX($B$184:M$184)</f>
        <v>-6.9790000000000001</v>
      </c>
      <c r="N185" s="103">
        <f>MAX($B$184:N$184)</f>
        <v>-5.7523999999999997</v>
      </c>
      <c r="O185" s="103">
        <f>MAX($B$184:O$184)</f>
        <v>-4.6982999999999997</v>
      </c>
      <c r="P185" s="103">
        <f>MAX($B$184:P$184)</f>
        <v>-3.7894000000000001</v>
      </c>
      <c r="Q185" s="103">
        <f>MAX($B$184:Q$184)</f>
        <v>-2.8058999999999998</v>
      </c>
      <c r="R185" s="103">
        <f>MAX($B$184:R$184)</f>
        <v>-1.7688999999999999</v>
      </c>
      <c r="S185" s="103">
        <f>MAX($B$184:S$184)</f>
        <v>-1.0134000000000001</v>
      </c>
      <c r="T185" s="103">
        <f>MAX($B$184:T$184)</f>
        <v>-0.41820000000000002</v>
      </c>
      <c r="U185" s="103">
        <f>MAX($B$184:U$184)</f>
        <v>9.5799999999999996E-2</v>
      </c>
      <c r="V185" s="103">
        <f>MAX($B$184:V$184)</f>
        <v>0.51549999999999996</v>
      </c>
      <c r="W185" s="103">
        <f>MAX($B$184:W$184)</f>
        <v>0.85760000000000003</v>
      </c>
      <c r="X185" s="103">
        <f>MAX($B$184:X$184)</f>
        <v>1.1585000000000001</v>
      </c>
      <c r="Y185" s="103">
        <f>MAX($B$184:Y$184)</f>
        <v>1.4259999999999999</v>
      </c>
      <c r="Z185" s="103">
        <f>MAX($B$184:Z$184)</f>
        <v>1.6642999999999999</v>
      </c>
      <c r="AA185" s="103">
        <f>MAX($B$184:AA$184)</f>
        <v>1.8789</v>
      </c>
      <c r="AB185" s="103">
        <f>MAX($B$184:AB$184)</f>
        <v>1.8789</v>
      </c>
      <c r="AC185" s="103">
        <f>MAX($B$184:AC$184)</f>
        <v>1.8789</v>
      </c>
      <c r="AD185" s="103">
        <f>MAX($B$184:AD$184)</f>
        <v>1.8789</v>
      </c>
      <c r="AE185" s="103">
        <f>MAX($B$184:AE$184)</f>
        <v>1.8789</v>
      </c>
      <c r="AF185" s="103">
        <f>MAX($B$184:AF$184)</f>
        <v>1.8789</v>
      </c>
      <c r="AG185" s="103">
        <f>MAX($B$184:AG$184)</f>
        <v>1.8789</v>
      </c>
      <c r="AH185" s="103">
        <f>MAX($B$184:AH$184)</f>
        <v>1.8789</v>
      </c>
      <c r="AI185" s="103">
        <f>MAX($B$184:AI$184)</f>
        <v>1.8789</v>
      </c>
      <c r="AJ185" s="103">
        <f>MAX($B$184:AJ$184)</f>
        <v>1.8789</v>
      </c>
      <c r="AK185" s="103">
        <f>MAX($B$184:AK$184)</f>
        <v>1.8789</v>
      </c>
      <c r="AL185" s="103">
        <f>MAX($B$184:AL$184)</f>
        <v>1.8789</v>
      </c>
      <c r="AM185" s="103">
        <f>MAX($B$184:AM$184)</f>
        <v>1.8789</v>
      </c>
      <c r="AN185" s="103">
        <f>MAX($B$184:AN$184)</f>
        <v>1.8789</v>
      </c>
      <c r="AO185" s="103">
        <f>MAX($B$184:AO$184)</f>
        <v>1.8789</v>
      </c>
      <c r="AP185" s="103">
        <f>MAX($B$184:AP$184)</f>
        <v>1.8789</v>
      </c>
    </row>
    <row r="186" spans="1:42" x14ac:dyDescent="0.2">
      <c r="A186" s="18" t="s">
        <v>177</v>
      </c>
      <c r="B186" s="155">
        <f>SUM(C186:AP186)</f>
        <v>0</v>
      </c>
      <c r="C186" s="152">
        <f t="shared" ref="C186:AP186" si="66">IF(IRRTarget="N/A",IF(AND(B185&lt;flip_target_year,C185&gt;=flip_target_year),C$2,0),IF(AND(B185&lt;IRRTarget,C185&gt;=IRRTarget),C$2,0))</f>
        <v>0</v>
      </c>
      <c r="D186" s="152">
        <f t="shared" si="66"/>
        <v>0</v>
      </c>
      <c r="E186" s="152">
        <f t="shared" si="66"/>
        <v>0</v>
      </c>
      <c r="F186" s="152">
        <f t="shared" si="66"/>
        <v>0</v>
      </c>
      <c r="G186" s="152">
        <f t="shared" si="66"/>
        <v>0</v>
      </c>
      <c r="H186" s="152">
        <f t="shared" si="66"/>
        <v>0</v>
      </c>
      <c r="I186" s="152">
        <f t="shared" si="66"/>
        <v>0</v>
      </c>
      <c r="J186" s="152">
        <f t="shared" si="66"/>
        <v>0</v>
      </c>
      <c r="K186" s="152">
        <f t="shared" si="66"/>
        <v>0</v>
      </c>
      <c r="L186" s="152">
        <f t="shared" si="66"/>
        <v>0</v>
      </c>
      <c r="M186" s="152">
        <f t="shared" si="66"/>
        <v>0</v>
      </c>
      <c r="N186" s="152">
        <f t="shared" si="66"/>
        <v>0</v>
      </c>
      <c r="O186" s="152">
        <f t="shared" si="66"/>
        <v>0</v>
      </c>
      <c r="P186" s="152">
        <f t="shared" si="66"/>
        <v>0</v>
      </c>
      <c r="Q186" s="152">
        <f t="shared" si="66"/>
        <v>0</v>
      </c>
      <c r="R186" s="152">
        <f t="shared" si="66"/>
        <v>0</v>
      </c>
      <c r="S186" s="152">
        <f t="shared" si="66"/>
        <v>0</v>
      </c>
      <c r="T186" s="152">
        <f t="shared" si="66"/>
        <v>0</v>
      </c>
      <c r="U186" s="152">
        <f t="shared" si="66"/>
        <v>0</v>
      </c>
      <c r="V186" s="152">
        <f t="shared" si="66"/>
        <v>0</v>
      </c>
      <c r="W186" s="152">
        <f t="shared" si="66"/>
        <v>0</v>
      </c>
      <c r="X186" s="152">
        <f t="shared" si="66"/>
        <v>0</v>
      </c>
      <c r="Y186" s="152">
        <f t="shared" si="66"/>
        <v>0</v>
      </c>
      <c r="Z186" s="152">
        <f t="shared" si="66"/>
        <v>0</v>
      </c>
      <c r="AA186" s="152">
        <f t="shared" si="66"/>
        <v>0</v>
      </c>
      <c r="AB186" s="152">
        <f t="shared" si="66"/>
        <v>0</v>
      </c>
      <c r="AC186" s="152">
        <f t="shared" si="66"/>
        <v>0</v>
      </c>
      <c r="AD186" s="152">
        <f t="shared" si="66"/>
        <v>0</v>
      </c>
      <c r="AE186" s="152">
        <f t="shared" si="66"/>
        <v>0</v>
      </c>
      <c r="AF186" s="152">
        <f t="shared" si="66"/>
        <v>0</v>
      </c>
      <c r="AG186" s="152">
        <f t="shared" si="66"/>
        <v>0</v>
      </c>
      <c r="AH186" s="152">
        <f t="shared" si="66"/>
        <v>0</v>
      </c>
      <c r="AI186" s="152">
        <f t="shared" si="66"/>
        <v>0</v>
      </c>
      <c r="AJ186" s="152">
        <f t="shared" si="66"/>
        <v>0</v>
      </c>
      <c r="AK186" s="152">
        <f t="shared" si="66"/>
        <v>0</v>
      </c>
      <c r="AL186" s="152">
        <f t="shared" si="66"/>
        <v>0</v>
      </c>
      <c r="AM186" s="152">
        <f t="shared" si="66"/>
        <v>0</v>
      </c>
      <c r="AN186" s="152">
        <f t="shared" si="66"/>
        <v>0</v>
      </c>
      <c r="AO186" s="152">
        <f t="shared" si="66"/>
        <v>0</v>
      </c>
      <c r="AP186" s="152">
        <f t="shared" si="66"/>
        <v>0</v>
      </c>
    </row>
    <row r="187" spans="1:42" x14ac:dyDescent="0.2">
      <c r="A187" s="18"/>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row>
    <row r="188" spans="1:42" x14ac:dyDescent="0.2">
      <c r="A188" s="18" t="s">
        <v>319</v>
      </c>
      <c r="B188" s="180">
        <f>B182+NPV(NominalDiscountRate/100,C182:AP182)</f>
        <v>-36504780.053115785</v>
      </c>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row>
    <row r="190" spans="1:42" x14ac:dyDescent="0.2">
      <c r="A190" s="82" t="s">
        <v>390</v>
      </c>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row>
    <row r="191" spans="1:42" x14ac:dyDescent="0.2">
      <c r="A191" s="18" t="s">
        <v>176</v>
      </c>
      <c r="B191" s="123">
        <f>-B82</f>
        <v>-111989777.5</v>
      </c>
      <c r="C191" s="119">
        <f>C651+C277+C309-C59+C605+C610-C674-C706-C738-C656+C770-C657+C127+C173</f>
        <v>29333131.650703572</v>
      </c>
      <c r="D191" s="119">
        <f t="shared" ref="D191:AP191" si="67">D651+D277+D309-D59+D605+D610-D674-D706-D738-D656+D770-D657+D127</f>
        <v>1830905.3471387299</v>
      </c>
      <c r="E191" s="119">
        <f t="shared" si="67"/>
        <v>-1143545.0117193419</v>
      </c>
      <c r="F191" s="119">
        <f t="shared" si="67"/>
        <v>-2955201.9417056502</v>
      </c>
      <c r="G191" s="119">
        <f t="shared" si="67"/>
        <v>-3022320.9901010897</v>
      </c>
      <c r="H191" s="119">
        <f t="shared" si="67"/>
        <v>-4399734.4682887895</v>
      </c>
      <c r="I191" s="119">
        <f t="shared" si="67"/>
        <v>-5776958.6059281873</v>
      </c>
      <c r="J191" s="119">
        <f t="shared" si="67"/>
        <v>-5845020.2979456969</v>
      </c>
      <c r="K191" s="119">
        <f t="shared" si="67"/>
        <v>-5914558.8172812741</v>
      </c>
      <c r="L191" s="119">
        <f t="shared" si="67"/>
        <v>-5985743.8483809205</v>
      </c>
      <c r="M191" s="119">
        <f t="shared" si="67"/>
        <v>-6058431.2254868755</v>
      </c>
      <c r="N191" s="119">
        <f t="shared" si="67"/>
        <v>-6132905.7226910563</v>
      </c>
      <c r="O191" s="119">
        <f t="shared" si="67"/>
        <v>-6208804.5837981775</v>
      </c>
      <c r="P191" s="119">
        <f t="shared" si="67"/>
        <v>-6286639.6927601369</v>
      </c>
      <c r="Q191" s="119">
        <f t="shared" si="67"/>
        <v>-5616291.0301330397</v>
      </c>
      <c r="R191" s="119">
        <f t="shared" si="67"/>
        <v>-4723330.7027649302</v>
      </c>
      <c r="S191" s="119">
        <f t="shared" si="67"/>
        <v>-5332725.8346909666</v>
      </c>
      <c r="T191" s="119">
        <f t="shared" si="67"/>
        <v>-5714166.1255955864</v>
      </c>
      <c r="U191" s="119">
        <f t="shared" si="67"/>
        <v>-5809606.5600730563</v>
      </c>
      <c r="V191" s="119">
        <f t="shared" si="67"/>
        <v>-6122906.117873027</v>
      </c>
      <c r="W191" s="119">
        <f t="shared" si="67"/>
        <v>-6460467.6514946986</v>
      </c>
      <c r="X191" s="119">
        <f t="shared" si="67"/>
        <v>-6584133.9758163281</v>
      </c>
      <c r="Y191" s="119">
        <f t="shared" si="67"/>
        <v>-6687587.2359331176</v>
      </c>
      <c r="Z191" s="119">
        <f t="shared" si="67"/>
        <v>-6793159.1109902551</v>
      </c>
      <c r="AA191" s="119">
        <f t="shared" si="67"/>
        <v>-5519430.4217248363</v>
      </c>
      <c r="AB191" s="119">
        <f t="shared" si="67"/>
        <v>0</v>
      </c>
      <c r="AC191" s="119">
        <f t="shared" si="67"/>
        <v>0</v>
      </c>
      <c r="AD191" s="119">
        <f t="shared" si="67"/>
        <v>0</v>
      </c>
      <c r="AE191" s="119">
        <f t="shared" si="67"/>
        <v>0</v>
      </c>
      <c r="AF191" s="119">
        <f t="shared" si="67"/>
        <v>0</v>
      </c>
      <c r="AG191" s="119">
        <f t="shared" si="67"/>
        <v>0</v>
      </c>
      <c r="AH191" s="119">
        <f t="shared" si="67"/>
        <v>0</v>
      </c>
      <c r="AI191" s="119">
        <f t="shared" si="67"/>
        <v>0</v>
      </c>
      <c r="AJ191" s="119">
        <f t="shared" si="67"/>
        <v>0</v>
      </c>
      <c r="AK191" s="119">
        <f t="shared" si="67"/>
        <v>0</v>
      </c>
      <c r="AL191" s="119">
        <f t="shared" si="67"/>
        <v>0</v>
      </c>
      <c r="AM191" s="119">
        <f t="shared" si="67"/>
        <v>0</v>
      </c>
      <c r="AN191" s="119">
        <f t="shared" si="67"/>
        <v>0</v>
      </c>
      <c r="AO191" s="119">
        <f t="shared" si="67"/>
        <v>0</v>
      </c>
      <c r="AP191" s="119">
        <f t="shared" si="67"/>
        <v>0</v>
      </c>
    </row>
    <row r="192" spans="1:42" x14ac:dyDescent="0.2">
      <c r="A192" s="18" t="s">
        <v>179</v>
      </c>
      <c r="B192" s="123"/>
      <c r="C192" s="119">
        <f t="shared" ref="C192:AP192" si="68">C17</f>
        <v>8476300</v>
      </c>
      <c r="D192" s="119">
        <f t="shared" si="68"/>
        <v>8518260</v>
      </c>
      <c r="E192" s="119">
        <f t="shared" si="68"/>
        <v>8560420</v>
      </c>
      <c r="F192" s="119">
        <f t="shared" si="68"/>
        <v>8602800</v>
      </c>
      <c r="G192" s="119">
        <f t="shared" si="68"/>
        <v>8645380</v>
      </c>
      <c r="H192" s="119">
        <f t="shared" si="68"/>
        <v>8688170</v>
      </c>
      <c r="I192" s="119">
        <f t="shared" si="68"/>
        <v>8731180</v>
      </c>
      <c r="J192" s="119">
        <f t="shared" si="68"/>
        <v>8774400</v>
      </c>
      <c r="K192" s="119">
        <f t="shared" si="68"/>
        <v>8817830</v>
      </c>
      <c r="L192" s="119">
        <f t="shared" si="68"/>
        <v>8861480</v>
      </c>
      <c r="M192" s="119">
        <f t="shared" si="68"/>
        <v>8905350</v>
      </c>
      <c r="N192" s="119">
        <f t="shared" si="68"/>
        <v>8949430</v>
      </c>
      <c r="O192" s="119">
        <f t="shared" si="68"/>
        <v>8993730</v>
      </c>
      <c r="P192" s="119">
        <f t="shared" si="68"/>
        <v>9038250</v>
      </c>
      <c r="Q192" s="119">
        <f t="shared" si="68"/>
        <v>9082980</v>
      </c>
      <c r="R192" s="119">
        <f t="shared" si="68"/>
        <v>9127950</v>
      </c>
      <c r="S192" s="119">
        <f t="shared" si="68"/>
        <v>9173130</v>
      </c>
      <c r="T192" s="119">
        <f t="shared" si="68"/>
        <v>9218540</v>
      </c>
      <c r="U192" s="119">
        <f t="shared" si="68"/>
        <v>9264170</v>
      </c>
      <c r="V192" s="119">
        <f t="shared" si="68"/>
        <v>9310030</v>
      </c>
      <c r="W192" s="119">
        <f t="shared" si="68"/>
        <v>9356110</v>
      </c>
      <c r="X192" s="119">
        <f t="shared" si="68"/>
        <v>9402420</v>
      </c>
      <c r="Y192" s="119">
        <f t="shared" si="68"/>
        <v>9448960</v>
      </c>
      <c r="Z192" s="119">
        <f t="shared" si="68"/>
        <v>9495740</v>
      </c>
      <c r="AA192" s="119">
        <f t="shared" si="68"/>
        <v>9542740</v>
      </c>
      <c r="AB192" s="119">
        <f t="shared" si="68"/>
        <v>0</v>
      </c>
      <c r="AC192" s="119">
        <f t="shared" si="68"/>
        <v>0</v>
      </c>
      <c r="AD192" s="119">
        <f t="shared" si="68"/>
        <v>0</v>
      </c>
      <c r="AE192" s="119">
        <f t="shared" si="68"/>
        <v>0</v>
      </c>
      <c r="AF192" s="119">
        <f t="shared" si="68"/>
        <v>0</v>
      </c>
      <c r="AG192" s="119">
        <f t="shared" si="68"/>
        <v>0</v>
      </c>
      <c r="AH192" s="119">
        <f t="shared" si="68"/>
        <v>0</v>
      </c>
      <c r="AI192" s="119">
        <f t="shared" si="68"/>
        <v>0</v>
      </c>
      <c r="AJ192" s="119">
        <f t="shared" si="68"/>
        <v>0</v>
      </c>
      <c r="AK192" s="119">
        <f t="shared" si="68"/>
        <v>0</v>
      </c>
      <c r="AL192" s="119">
        <f t="shared" si="68"/>
        <v>0</v>
      </c>
      <c r="AM192" s="119">
        <f t="shared" si="68"/>
        <v>0</v>
      </c>
      <c r="AN192" s="119">
        <f t="shared" si="68"/>
        <v>0</v>
      </c>
      <c r="AO192" s="119">
        <f t="shared" si="68"/>
        <v>0</v>
      </c>
      <c r="AP192" s="119">
        <f t="shared" si="68"/>
        <v>0</v>
      </c>
    </row>
    <row r="193" spans="1:42" x14ac:dyDescent="0.2">
      <c r="A193" s="18" t="s">
        <v>391</v>
      </c>
      <c r="B193" s="123"/>
      <c r="C193" s="119">
        <f>C$5</f>
        <v>211907000</v>
      </c>
      <c r="D193" s="119">
        <f t="shared" ref="D193:AP193" si="69">D$5</f>
        <v>210848000</v>
      </c>
      <c r="E193" s="119">
        <f t="shared" si="69"/>
        <v>209794000</v>
      </c>
      <c r="F193" s="119">
        <f t="shared" si="69"/>
        <v>208745000</v>
      </c>
      <c r="G193" s="119">
        <f t="shared" si="69"/>
        <v>207701000</v>
      </c>
      <c r="H193" s="119">
        <f t="shared" si="69"/>
        <v>206662000</v>
      </c>
      <c r="I193" s="119">
        <f t="shared" si="69"/>
        <v>205629000</v>
      </c>
      <c r="J193" s="119">
        <f t="shared" si="69"/>
        <v>204601000</v>
      </c>
      <c r="K193" s="119">
        <f t="shared" si="69"/>
        <v>203578000</v>
      </c>
      <c r="L193" s="119">
        <f t="shared" si="69"/>
        <v>202560000</v>
      </c>
      <c r="M193" s="119">
        <f t="shared" si="69"/>
        <v>201547000</v>
      </c>
      <c r="N193" s="119">
        <f t="shared" si="69"/>
        <v>200540000</v>
      </c>
      <c r="O193" s="119">
        <f t="shared" si="69"/>
        <v>199537000</v>
      </c>
      <c r="P193" s="119">
        <f t="shared" si="69"/>
        <v>198539000</v>
      </c>
      <c r="Q193" s="119">
        <f t="shared" si="69"/>
        <v>197547000</v>
      </c>
      <c r="R193" s="119">
        <f t="shared" si="69"/>
        <v>196559000</v>
      </c>
      <c r="S193" s="119">
        <f t="shared" si="69"/>
        <v>195576000</v>
      </c>
      <c r="T193" s="119">
        <f t="shared" si="69"/>
        <v>194598000</v>
      </c>
      <c r="U193" s="119">
        <f t="shared" si="69"/>
        <v>193625000</v>
      </c>
      <c r="V193" s="119">
        <f t="shared" si="69"/>
        <v>192657000</v>
      </c>
      <c r="W193" s="119">
        <f t="shared" si="69"/>
        <v>191694000</v>
      </c>
      <c r="X193" s="119">
        <f t="shared" si="69"/>
        <v>190735000</v>
      </c>
      <c r="Y193" s="119">
        <f t="shared" si="69"/>
        <v>189782000</v>
      </c>
      <c r="Z193" s="119">
        <f t="shared" si="69"/>
        <v>188833000</v>
      </c>
      <c r="AA193" s="119">
        <f t="shared" si="69"/>
        <v>187888000</v>
      </c>
      <c r="AB193" s="119">
        <f t="shared" si="69"/>
        <v>0</v>
      </c>
      <c r="AC193" s="119">
        <f t="shared" si="69"/>
        <v>0</v>
      </c>
      <c r="AD193" s="119">
        <f t="shared" si="69"/>
        <v>0</v>
      </c>
      <c r="AE193" s="119">
        <f t="shared" si="69"/>
        <v>0</v>
      </c>
      <c r="AF193" s="119">
        <f t="shared" si="69"/>
        <v>0</v>
      </c>
      <c r="AG193" s="119">
        <f t="shared" si="69"/>
        <v>0</v>
      </c>
      <c r="AH193" s="119">
        <f t="shared" si="69"/>
        <v>0</v>
      </c>
      <c r="AI193" s="119">
        <f t="shared" si="69"/>
        <v>0</v>
      </c>
      <c r="AJ193" s="119">
        <f t="shared" si="69"/>
        <v>0</v>
      </c>
      <c r="AK193" s="119">
        <f t="shared" si="69"/>
        <v>0</v>
      </c>
      <c r="AL193" s="119">
        <f t="shared" si="69"/>
        <v>0</v>
      </c>
      <c r="AM193" s="119">
        <f t="shared" si="69"/>
        <v>0</v>
      </c>
      <c r="AN193" s="119">
        <f t="shared" si="69"/>
        <v>0</v>
      </c>
      <c r="AO193" s="119">
        <f t="shared" si="69"/>
        <v>0</v>
      </c>
      <c r="AP193" s="119">
        <f t="shared" si="69"/>
        <v>0</v>
      </c>
    </row>
    <row r="195" spans="1:42" x14ac:dyDescent="0.2">
      <c r="A195" s="4" t="s">
        <v>175</v>
      </c>
      <c r="B195" s="149">
        <f>-(B191+NPV(NominalDiscountRate/100,C191:AP191))</f>
        <v>122506831.95650253</v>
      </c>
      <c r="C195" s="119"/>
      <c r="D195" s="119"/>
    </row>
    <row r="196" spans="1:42" x14ac:dyDescent="0.2">
      <c r="A196" s="4" t="s">
        <v>174</v>
      </c>
      <c r="B196" s="149">
        <f>NPV(NominalDiscountRate/100,C193:AP193)</f>
        <v>1992924590.7323005</v>
      </c>
    </row>
    <row r="197" spans="1:42" x14ac:dyDescent="0.2">
      <c r="A197" s="4" t="s">
        <v>389</v>
      </c>
      <c r="B197" s="207">
        <f>IF(B196=0,0,B195/B196*100)</f>
        <v>6.1470881801647783</v>
      </c>
    </row>
    <row r="198" spans="1:42" x14ac:dyDescent="0.2">
      <c r="B198" s="203"/>
    </row>
    <row r="199" spans="1:42" x14ac:dyDescent="0.2">
      <c r="A199" s="4" t="s">
        <v>180</v>
      </c>
      <c r="B199" s="149">
        <f>NPV(NominalDiscountRate/100,C192:AP192)</f>
        <v>86157217.951390311</v>
      </c>
    </row>
    <row r="200" spans="1:42" x14ac:dyDescent="0.2">
      <c r="A200" s="4" t="s">
        <v>174</v>
      </c>
      <c r="B200" s="149">
        <f>B196</f>
        <v>1992924590.7323005</v>
      </c>
    </row>
    <row r="201" spans="1:42" x14ac:dyDescent="0.2">
      <c r="A201" s="4" t="s">
        <v>211</v>
      </c>
      <c r="B201" s="207">
        <f>IF(B200=0,0,B199/B200*100)</f>
        <v>4.3231549428436642</v>
      </c>
    </row>
    <row r="202" spans="1:42" x14ac:dyDescent="0.2">
      <c r="B202" s="108"/>
    </row>
    <row r="203" spans="1:42" x14ac:dyDescent="0.2">
      <c r="A203" s="346" t="s">
        <v>421</v>
      </c>
      <c r="B203" s="347"/>
      <c r="C203" s="348"/>
      <c r="D203" s="348"/>
      <c r="E203" s="348"/>
      <c r="F203" s="348"/>
      <c r="G203" s="348"/>
      <c r="H203" s="348"/>
      <c r="I203" s="348"/>
      <c r="J203" s="348"/>
      <c r="K203" s="348"/>
      <c r="L203" s="348"/>
      <c r="M203" s="348"/>
      <c r="N203" s="348"/>
      <c r="O203" s="348"/>
      <c r="P203" s="348"/>
      <c r="Q203" s="348"/>
      <c r="R203" s="348"/>
      <c r="S203" s="348"/>
      <c r="T203" s="348"/>
      <c r="U203" s="348"/>
      <c r="V203" s="348"/>
      <c r="W203" s="348"/>
      <c r="X203" s="348"/>
      <c r="Y203" s="348"/>
      <c r="Z203" s="348"/>
      <c r="AA203" s="348"/>
      <c r="AB203" s="348"/>
      <c r="AC203" s="348"/>
      <c r="AD203" s="348"/>
      <c r="AE203" s="348"/>
      <c r="AF203" s="348"/>
      <c r="AG203" s="348"/>
      <c r="AH203" s="348"/>
      <c r="AI203" s="348"/>
      <c r="AJ203" s="348"/>
      <c r="AK203" s="348"/>
      <c r="AL203" s="348"/>
      <c r="AM203" s="348"/>
      <c r="AN203" s="348"/>
      <c r="AO203" s="348"/>
      <c r="AP203" s="348"/>
    </row>
    <row r="204" spans="1:42" x14ac:dyDescent="0.2">
      <c r="A204" s="4" t="s">
        <v>422</v>
      </c>
      <c r="B204" s="119">
        <f t="array" ref="B204:AP204">Inputs!C195:AQ195</f>
        <v>0</v>
      </c>
      <c r="C204" s="119">
        <v>0</v>
      </c>
      <c r="D204" s="119">
        <v>0</v>
      </c>
      <c r="E204" s="119">
        <v>0</v>
      </c>
      <c r="F204" s="119">
        <v>0</v>
      </c>
      <c r="G204" s="119">
        <v>0</v>
      </c>
      <c r="H204" s="119">
        <v>0</v>
      </c>
      <c r="I204" s="119">
        <v>0</v>
      </c>
      <c r="J204" s="119">
        <v>0</v>
      </c>
      <c r="K204" s="119">
        <v>0</v>
      </c>
      <c r="L204" s="119">
        <v>0</v>
      </c>
      <c r="M204" s="119">
        <v>0</v>
      </c>
      <c r="N204" s="119">
        <v>0</v>
      </c>
      <c r="O204" s="119">
        <v>0</v>
      </c>
      <c r="P204" s="119">
        <v>0</v>
      </c>
      <c r="Q204" s="119">
        <v>0</v>
      </c>
      <c r="R204" s="119">
        <v>0</v>
      </c>
      <c r="S204" s="119">
        <v>0</v>
      </c>
      <c r="T204" s="119">
        <v>0</v>
      </c>
      <c r="U204" s="119">
        <v>0</v>
      </c>
      <c r="V204" s="119">
        <v>0</v>
      </c>
      <c r="W204" s="119">
        <v>0</v>
      </c>
      <c r="X204" s="119">
        <v>0</v>
      </c>
      <c r="Y204" s="119">
        <v>0</v>
      </c>
      <c r="Z204" s="119">
        <v>0</v>
      </c>
      <c r="AA204" s="119">
        <v>0</v>
      </c>
      <c r="AB204" s="119">
        <v>0</v>
      </c>
      <c r="AC204" s="119">
        <v>0</v>
      </c>
      <c r="AD204" s="119">
        <v>0</v>
      </c>
      <c r="AE204" s="119">
        <v>0</v>
      </c>
      <c r="AF204" s="119">
        <v>0</v>
      </c>
      <c r="AG204" s="119">
        <v>0</v>
      </c>
      <c r="AH204" s="119">
        <v>0</v>
      </c>
      <c r="AI204" s="119">
        <v>0</v>
      </c>
      <c r="AJ204" s="119">
        <v>0</v>
      </c>
      <c r="AK204" s="119">
        <v>0</v>
      </c>
      <c r="AL204" s="119">
        <v>0</v>
      </c>
      <c r="AM204" s="119">
        <v>0</v>
      </c>
      <c r="AN204" s="119">
        <v>0</v>
      </c>
      <c r="AO204" s="119">
        <v>0</v>
      </c>
      <c r="AP204" s="119">
        <v>0</v>
      </c>
    </row>
    <row r="205" spans="1:42" x14ac:dyDescent="0.2">
      <c r="A205" s="4" t="s">
        <v>423</v>
      </c>
      <c r="B205" s="119">
        <f t="array" ref="B205:AP205">Inputs!C143:AQ143</f>
        <v>0</v>
      </c>
      <c r="C205" s="119">
        <v>0</v>
      </c>
      <c r="D205" s="119">
        <v>0</v>
      </c>
      <c r="E205" s="119">
        <v>0</v>
      </c>
      <c r="F205" s="119">
        <v>0</v>
      </c>
      <c r="G205" s="119">
        <v>0</v>
      </c>
      <c r="H205" s="119">
        <v>0</v>
      </c>
      <c r="I205" s="119">
        <v>0</v>
      </c>
      <c r="J205" s="119">
        <v>0</v>
      </c>
      <c r="K205" s="119">
        <v>0</v>
      </c>
      <c r="L205" s="119">
        <v>0</v>
      </c>
      <c r="M205" s="119">
        <v>0</v>
      </c>
      <c r="N205" s="119">
        <v>0</v>
      </c>
      <c r="O205" s="119">
        <v>0</v>
      </c>
      <c r="P205" s="119">
        <v>0</v>
      </c>
      <c r="Q205" s="119">
        <v>0</v>
      </c>
      <c r="R205" s="119">
        <v>0</v>
      </c>
      <c r="S205" s="119">
        <v>0</v>
      </c>
      <c r="T205" s="119">
        <v>0</v>
      </c>
      <c r="U205" s="119">
        <v>0</v>
      </c>
      <c r="V205" s="119">
        <v>0</v>
      </c>
      <c r="W205" s="119">
        <v>0</v>
      </c>
      <c r="X205" s="119">
        <v>0</v>
      </c>
      <c r="Y205" s="119">
        <v>0</v>
      </c>
      <c r="Z205" s="119">
        <v>0</v>
      </c>
      <c r="AA205" s="119">
        <v>0</v>
      </c>
      <c r="AB205" s="119">
        <v>0</v>
      </c>
      <c r="AC205" s="119">
        <v>0</v>
      </c>
      <c r="AD205" s="119">
        <v>0</v>
      </c>
      <c r="AE205" s="119">
        <v>0</v>
      </c>
      <c r="AF205" s="119">
        <v>0</v>
      </c>
      <c r="AG205" s="119">
        <v>0</v>
      </c>
      <c r="AH205" s="119">
        <v>0</v>
      </c>
      <c r="AI205" s="119">
        <v>0</v>
      </c>
      <c r="AJ205" s="119">
        <v>0</v>
      </c>
      <c r="AK205" s="119">
        <v>0</v>
      </c>
      <c r="AL205" s="119">
        <v>0</v>
      </c>
      <c r="AM205" s="119">
        <v>0</v>
      </c>
      <c r="AN205" s="119">
        <v>0</v>
      </c>
      <c r="AO205" s="119">
        <v>0</v>
      </c>
      <c r="AP205" s="119">
        <v>0</v>
      </c>
    </row>
    <row r="206" spans="1:42" x14ac:dyDescent="0.2">
      <c r="B206" s="108"/>
    </row>
    <row r="207" spans="1:42" x14ac:dyDescent="0.2">
      <c r="A207" s="4" t="s">
        <v>424</v>
      </c>
      <c r="B207" s="338">
        <f>-(B204+NPV(NominalDiscountRate/100,C204:AP204))</f>
        <v>0</v>
      </c>
    </row>
    <row r="208" spans="1:42" x14ac:dyDescent="0.2">
      <c r="A208" s="4" t="s">
        <v>425</v>
      </c>
      <c r="B208" s="338">
        <f>NPV(NominalDiscountRate/100,C205:AP205)</f>
        <v>0</v>
      </c>
    </row>
    <row r="209" spans="1:42" x14ac:dyDescent="0.2">
      <c r="A209" s="4" t="s">
        <v>426</v>
      </c>
      <c r="B209" s="349">
        <f>IF(B208=0,0,B207/B208*100)</f>
        <v>0</v>
      </c>
    </row>
    <row r="210" spans="1:42" x14ac:dyDescent="0.2">
      <c r="B210" s="108"/>
    </row>
    <row r="211" spans="1:42" x14ac:dyDescent="0.2">
      <c r="A211" s="286" t="s">
        <v>286</v>
      </c>
      <c r="B211" s="290"/>
      <c r="C211" s="291"/>
      <c r="D211" s="291"/>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c r="AB211" s="291"/>
      <c r="AC211" s="291"/>
      <c r="AD211" s="291"/>
      <c r="AE211" s="291"/>
      <c r="AF211" s="291"/>
      <c r="AG211" s="291"/>
      <c r="AH211" s="291"/>
      <c r="AI211" s="291"/>
      <c r="AJ211" s="291"/>
      <c r="AK211" s="291"/>
      <c r="AL211" s="291"/>
      <c r="AM211" s="291"/>
      <c r="AN211" s="291"/>
      <c r="AO211" s="291"/>
      <c r="AP211" s="291"/>
    </row>
    <row r="212" spans="1:42" x14ac:dyDescent="0.2">
      <c r="A212" s="20" t="s">
        <v>301</v>
      </c>
      <c r="B212" s="108"/>
    </row>
    <row r="213" spans="1:42" x14ac:dyDescent="0.2">
      <c r="A213" s="18" t="s">
        <v>303</v>
      </c>
      <c r="B213" s="108"/>
      <c r="C213" s="119">
        <f t="shared" ref="C213:AP213" si="70">C17</f>
        <v>8476300</v>
      </c>
      <c r="D213" s="119">
        <f t="shared" si="70"/>
        <v>8518260</v>
      </c>
      <c r="E213" s="119">
        <f t="shared" si="70"/>
        <v>8560420</v>
      </c>
      <c r="F213" s="119">
        <f t="shared" si="70"/>
        <v>8602800</v>
      </c>
      <c r="G213" s="119">
        <f t="shared" si="70"/>
        <v>8645380</v>
      </c>
      <c r="H213" s="119">
        <f t="shared" si="70"/>
        <v>8688170</v>
      </c>
      <c r="I213" s="119">
        <f t="shared" si="70"/>
        <v>8731180</v>
      </c>
      <c r="J213" s="119">
        <f t="shared" si="70"/>
        <v>8774400</v>
      </c>
      <c r="K213" s="119">
        <f t="shared" si="70"/>
        <v>8817830</v>
      </c>
      <c r="L213" s="119">
        <f t="shared" si="70"/>
        <v>8861480</v>
      </c>
      <c r="M213" s="119">
        <f t="shared" si="70"/>
        <v>8905350</v>
      </c>
      <c r="N213" s="119">
        <f t="shared" si="70"/>
        <v>8949430</v>
      </c>
      <c r="O213" s="119">
        <f t="shared" si="70"/>
        <v>8993730</v>
      </c>
      <c r="P213" s="119">
        <f t="shared" si="70"/>
        <v>9038250</v>
      </c>
      <c r="Q213" s="119">
        <f t="shared" si="70"/>
        <v>9082980</v>
      </c>
      <c r="R213" s="119">
        <f t="shared" si="70"/>
        <v>9127950</v>
      </c>
      <c r="S213" s="119">
        <f t="shared" si="70"/>
        <v>9173130</v>
      </c>
      <c r="T213" s="119">
        <f t="shared" si="70"/>
        <v>9218540</v>
      </c>
      <c r="U213" s="119">
        <f t="shared" si="70"/>
        <v>9264170</v>
      </c>
      <c r="V213" s="119">
        <f t="shared" si="70"/>
        <v>9310030</v>
      </c>
      <c r="W213" s="119">
        <f t="shared" si="70"/>
        <v>9356110</v>
      </c>
      <c r="X213" s="119">
        <f t="shared" si="70"/>
        <v>9402420</v>
      </c>
      <c r="Y213" s="119">
        <f t="shared" si="70"/>
        <v>9448960</v>
      </c>
      <c r="Z213" s="119">
        <f t="shared" si="70"/>
        <v>9495740</v>
      </c>
      <c r="AA213" s="119">
        <f t="shared" si="70"/>
        <v>9542740</v>
      </c>
      <c r="AB213" s="119">
        <f t="shared" si="70"/>
        <v>0</v>
      </c>
      <c r="AC213" s="119">
        <f t="shared" si="70"/>
        <v>0</v>
      </c>
      <c r="AD213" s="119">
        <f t="shared" si="70"/>
        <v>0</v>
      </c>
      <c r="AE213" s="119">
        <f t="shared" si="70"/>
        <v>0</v>
      </c>
      <c r="AF213" s="119">
        <f t="shared" si="70"/>
        <v>0</v>
      </c>
      <c r="AG213" s="119">
        <f t="shared" si="70"/>
        <v>0</v>
      </c>
      <c r="AH213" s="119">
        <f t="shared" si="70"/>
        <v>0</v>
      </c>
      <c r="AI213" s="119">
        <f t="shared" si="70"/>
        <v>0</v>
      </c>
      <c r="AJ213" s="119">
        <f t="shared" si="70"/>
        <v>0</v>
      </c>
      <c r="AK213" s="119">
        <f t="shared" si="70"/>
        <v>0</v>
      </c>
      <c r="AL213" s="119">
        <f t="shared" si="70"/>
        <v>0</v>
      </c>
      <c r="AM213" s="119">
        <f t="shared" si="70"/>
        <v>0</v>
      </c>
      <c r="AN213" s="119">
        <f t="shared" si="70"/>
        <v>0</v>
      </c>
      <c r="AO213" s="119">
        <f t="shared" si="70"/>
        <v>0</v>
      </c>
      <c r="AP213" s="119">
        <f t="shared" si="70"/>
        <v>0</v>
      </c>
    </row>
    <row r="214" spans="1:42" x14ac:dyDescent="0.2">
      <c r="A214" s="18" t="s">
        <v>353</v>
      </c>
      <c r="B214" s="108"/>
      <c r="C214" s="119">
        <f>C774</f>
        <v>25155.890329275975</v>
      </c>
      <c r="D214" s="119">
        <f t="shared" ref="D214:AP214" si="71">D774</f>
        <v>25155.890329275975</v>
      </c>
      <c r="E214" s="119">
        <f t="shared" si="71"/>
        <v>25155.890329275975</v>
      </c>
      <c r="F214" s="119">
        <f t="shared" si="71"/>
        <v>25155.890329275975</v>
      </c>
      <c r="G214" s="119">
        <f t="shared" si="71"/>
        <v>25155.890329275975</v>
      </c>
      <c r="H214" s="119">
        <f t="shared" si="71"/>
        <v>25155.890329275975</v>
      </c>
      <c r="I214" s="119">
        <f t="shared" si="71"/>
        <v>25155.890329275975</v>
      </c>
      <c r="J214" s="119">
        <f t="shared" si="71"/>
        <v>25155.890329275975</v>
      </c>
      <c r="K214" s="119">
        <f t="shared" si="71"/>
        <v>25155.890329275975</v>
      </c>
      <c r="L214" s="119">
        <f t="shared" si="71"/>
        <v>25155.890329275975</v>
      </c>
      <c r="M214" s="119">
        <f t="shared" si="71"/>
        <v>25155.890329275975</v>
      </c>
      <c r="N214" s="119">
        <f t="shared" si="71"/>
        <v>25155.890329275975</v>
      </c>
      <c r="O214" s="119">
        <f t="shared" si="71"/>
        <v>25155.890329275975</v>
      </c>
      <c r="P214" s="119">
        <f t="shared" si="71"/>
        <v>25155.890329275975</v>
      </c>
      <c r="Q214" s="119">
        <f t="shared" si="71"/>
        <v>25155.890329275975</v>
      </c>
      <c r="R214" s="119">
        <f t="shared" si="71"/>
        <v>25155.890329275975</v>
      </c>
      <c r="S214" s="119">
        <f t="shared" si="71"/>
        <v>25155.890329275975</v>
      </c>
      <c r="T214" s="119">
        <f t="shared" si="71"/>
        <v>25155.890329275975</v>
      </c>
      <c r="U214" s="119">
        <f t="shared" si="71"/>
        <v>25155.890329275975</v>
      </c>
      <c r="V214" s="119">
        <f t="shared" si="71"/>
        <v>25155.890329275975</v>
      </c>
      <c r="W214" s="119">
        <f t="shared" si="71"/>
        <v>25155.890329275975</v>
      </c>
      <c r="X214" s="119">
        <f t="shared" si="71"/>
        <v>25155.890329275975</v>
      </c>
      <c r="Y214" s="119">
        <f t="shared" si="71"/>
        <v>25155.890329275975</v>
      </c>
      <c r="Z214" s="119">
        <f t="shared" si="71"/>
        <v>25155.890329275975</v>
      </c>
      <c r="AA214" s="119">
        <f t="shared" si="71"/>
        <v>25155.890329275975</v>
      </c>
      <c r="AB214" s="119">
        <f t="shared" si="71"/>
        <v>0</v>
      </c>
      <c r="AC214" s="119">
        <f t="shared" si="71"/>
        <v>0</v>
      </c>
      <c r="AD214" s="119">
        <f t="shared" si="71"/>
        <v>0</v>
      </c>
      <c r="AE214" s="119">
        <f t="shared" si="71"/>
        <v>0</v>
      </c>
      <c r="AF214" s="119">
        <f t="shared" si="71"/>
        <v>0</v>
      </c>
      <c r="AG214" s="119">
        <f t="shared" si="71"/>
        <v>0</v>
      </c>
      <c r="AH214" s="119">
        <f t="shared" si="71"/>
        <v>0</v>
      </c>
      <c r="AI214" s="119">
        <f t="shared" si="71"/>
        <v>0</v>
      </c>
      <c r="AJ214" s="119">
        <f t="shared" si="71"/>
        <v>0</v>
      </c>
      <c r="AK214" s="119">
        <f t="shared" si="71"/>
        <v>0</v>
      </c>
      <c r="AL214" s="119">
        <f t="shared" si="71"/>
        <v>0</v>
      </c>
      <c r="AM214" s="119">
        <f t="shared" si="71"/>
        <v>0</v>
      </c>
      <c r="AN214" s="119">
        <f t="shared" si="71"/>
        <v>0</v>
      </c>
      <c r="AO214" s="119">
        <f t="shared" si="71"/>
        <v>0</v>
      </c>
      <c r="AP214" s="119">
        <f t="shared" si="71"/>
        <v>0</v>
      </c>
    </row>
    <row r="215" spans="1:42" x14ac:dyDescent="0.2">
      <c r="A215" s="18" t="s">
        <v>357</v>
      </c>
      <c r="B215" s="108"/>
      <c r="C215" s="119">
        <f>C770</f>
        <v>9375</v>
      </c>
      <c r="D215" s="119">
        <f t="shared" ref="D215:AP215" si="72">D770</f>
        <v>21384.156841448046</v>
      </c>
      <c r="E215" s="119">
        <f t="shared" si="72"/>
        <v>33399.173057896092</v>
      </c>
      <c r="F215" s="119">
        <f t="shared" si="72"/>
        <v>45420.195133719149</v>
      </c>
      <c r="G215" s="119">
        <f t="shared" si="72"/>
        <v>57447.373215401567</v>
      </c>
      <c r="H215" s="119">
        <f t="shared" si="72"/>
        <v>69480.861203089837</v>
      </c>
      <c r="I215" s="119">
        <f t="shared" si="72"/>
        <v>81520.816844434157</v>
      </c>
      <c r="J215" s="119">
        <f t="shared" si="72"/>
        <v>93567.401830775852</v>
      </c>
      <c r="K215" s="119">
        <f t="shared" si="72"/>
        <v>105620.78189573988</v>
      </c>
      <c r="L215" s="119">
        <f t="shared" si="72"/>
        <v>117681.12691629183</v>
      </c>
      <c r="M215" s="119">
        <f t="shared" si="72"/>
        <v>129748.61101632135</v>
      </c>
      <c r="N215" s="119">
        <f t="shared" si="72"/>
        <v>141823.41267281541</v>
      </c>
      <c r="O215" s="119">
        <f t="shared" si="72"/>
        <v>153905.71482468562</v>
      </c>
      <c r="P215" s="119">
        <f t="shared" si="72"/>
        <v>165995.7049843164</v>
      </c>
      <c r="Q215" s="119">
        <f t="shared" si="72"/>
        <v>178093.57535190173</v>
      </c>
      <c r="R215" s="119">
        <f t="shared" si="72"/>
        <v>13577.795310919782</v>
      </c>
      <c r="S215" s="119">
        <f t="shared" si="72"/>
        <v>13917.240193692778</v>
      </c>
      <c r="T215" s="119">
        <f t="shared" si="72"/>
        <v>14265.171198535101</v>
      </c>
      <c r="U215" s="119">
        <f t="shared" si="72"/>
        <v>14621.800478498477</v>
      </c>
      <c r="V215" s="119">
        <f t="shared" si="72"/>
        <v>14987.345490460939</v>
      </c>
      <c r="W215" s="119">
        <f t="shared" si="72"/>
        <v>15362.029127722457</v>
      </c>
      <c r="X215" s="119">
        <f t="shared" si="72"/>
        <v>15746.079855915517</v>
      </c>
      <c r="Y215" s="119">
        <f t="shared" si="72"/>
        <v>16139.731852313405</v>
      </c>
      <c r="Z215" s="119">
        <f t="shared" si="72"/>
        <v>16543.225148621244</v>
      </c>
      <c r="AA215" s="119">
        <f t="shared" si="72"/>
        <v>16956.805777336773</v>
      </c>
      <c r="AB215" s="119">
        <f t="shared" si="72"/>
        <v>0</v>
      </c>
      <c r="AC215" s="119">
        <f t="shared" si="72"/>
        <v>0</v>
      </c>
      <c r="AD215" s="119">
        <f t="shared" si="72"/>
        <v>0</v>
      </c>
      <c r="AE215" s="119">
        <f t="shared" si="72"/>
        <v>0</v>
      </c>
      <c r="AF215" s="119">
        <f t="shared" si="72"/>
        <v>0</v>
      </c>
      <c r="AG215" s="119">
        <f t="shared" si="72"/>
        <v>0</v>
      </c>
      <c r="AH215" s="119">
        <f t="shared" si="72"/>
        <v>0</v>
      </c>
      <c r="AI215" s="119">
        <f t="shared" si="72"/>
        <v>0</v>
      </c>
      <c r="AJ215" s="119">
        <f t="shared" si="72"/>
        <v>0</v>
      </c>
      <c r="AK215" s="119">
        <f t="shared" si="72"/>
        <v>0</v>
      </c>
      <c r="AL215" s="119">
        <f t="shared" si="72"/>
        <v>0</v>
      </c>
      <c r="AM215" s="119">
        <f t="shared" si="72"/>
        <v>0</v>
      </c>
      <c r="AN215" s="119">
        <f t="shared" si="72"/>
        <v>0</v>
      </c>
      <c r="AO215" s="119">
        <f t="shared" si="72"/>
        <v>0</v>
      </c>
      <c r="AP215" s="119">
        <f t="shared" si="72"/>
        <v>0</v>
      </c>
    </row>
    <row r="216" spans="1:42" x14ac:dyDescent="0.2">
      <c r="A216" s="18" t="str">
        <f>A144</f>
        <v>Developer operating margin</v>
      </c>
      <c r="B216" s="108"/>
      <c r="C216" s="119">
        <f t="shared" ref="C216:AP216" si="73">C57</f>
        <v>2000000</v>
      </c>
      <c r="D216" s="119">
        <f t="shared" si="73"/>
        <v>2040000</v>
      </c>
      <c r="E216" s="119">
        <f t="shared" si="73"/>
        <v>2080800</v>
      </c>
      <c r="F216" s="119">
        <f t="shared" si="73"/>
        <v>2122416</v>
      </c>
      <c r="G216" s="119">
        <f t="shared" si="73"/>
        <v>2164864.3199999998</v>
      </c>
      <c r="H216" s="119">
        <f t="shared" si="73"/>
        <v>2208161.6063999999</v>
      </c>
      <c r="I216" s="119">
        <f t="shared" si="73"/>
        <v>2252324.8385280003</v>
      </c>
      <c r="J216" s="119">
        <f t="shared" si="73"/>
        <v>2297371.3352985596</v>
      </c>
      <c r="K216" s="119">
        <f t="shared" si="73"/>
        <v>2343318.762004531</v>
      </c>
      <c r="L216" s="119">
        <f t="shared" si="73"/>
        <v>2390185.1372446218</v>
      </c>
      <c r="M216" s="119">
        <f t="shared" si="73"/>
        <v>2437988.8399895141</v>
      </c>
      <c r="N216" s="119">
        <f t="shared" si="73"/>
        <v>2486748.6167893042</v>
      </c>
      <c r="O216" s="119">
        <f t="shared" si="73"/>
        <v>2536483.5891250907</v>
      </c>
      <c r="P216" s="119">
        <f t="shared" si="73"/>
        <v>2587213.2609075923</v>
      </c>
      <c r="Q216" s="119">
        <f t="shared" si="73"/>
        <v>2638957.5261257445</v>
      </c>
      <c r="R216" s="119">
        <f t="shared" si="73"/>
        <v>2691736.6766482582</v>
      </c>
      <c r="S216" s="119">
        <f t="shared" si="73"/>
        <v>2745571.4101812239</v>
      </c>
      <c r="T216" s="119">
        <f t="shared" si="73"/>
        <v>2800482.838384849</v>
      </c>
      <c r="U216" s="119">
        <f t="shared" si="73"/>
        <v>2856492.4951525456</v>
      </c>
      <c r="V216" s="119">
        <f t="shared" si="73"/>
        <v>2913622.3450555964</v>
      </c>
      <c r="W216" s="119">
        <f t="shared" si="73"/>
        <v>2971894.7919567083</v>
      </c>
      <c r="X216" s="119">
        <f t="shared" si="73"/>
        <v>3031332.6877958425</v>
      </c>
      <c r="Y216" s="119">
        <f t="shared" si="73"/>
        <v>3091959.3415517593</v>
      </c>
      <c r="Z216" s="119">
        <f t="shared" si="73"/>
        <v>3153798.528382794</v>
      </c>
      <c r="AA216" s="119">
        <f t="shared" si="73"/>
        <v>3216874.4989504502</v>
      </c>
      <c r="AB216" s="119">
        <f t="shared" si="73"/>
        <v>0</v>
      </c>
      <c r="AC216" s="119">
        <f t="shared" si="73"/>
        <v>0</v>
      </c>
      <c r="AD216" s="119">
        <f t="shared" si="73"/>
        <v>0</v>
      </c>
      <c r="AE216" s="119">
        <f t="shared" si="73"/>
        <v>0</v>
      </c>
      <c r="AF216" s="119">
        <f t="shared" si="73"/>
        <v>0</v>
      </c>
      <c r="AG216" s="119">
        <f t="shared" si="73"/>
        <v>0</v>
      </c>
      <c r="AH216" s="119">
        <f t="shared" si="73"/>
        <v>0</v>
      </c>
      <c r="AI216" s="119">
        <f t="shared" si="73"/>
        <v>0</v>
      </c>
      <c r="AJ216" s="119">
        <f t="shared" si="73"/>
        <v>0</v>
      </c>
      <c r="AK216" s="119">
        <f t="shared" si="73"/>
        <v>0</v>
      </c>
      <c r="AL216" s="119">
        <f t="shared" si="73"/>
        <v>0</v>
      </c>
      <c r="AM216" s="119">
        <f t="shared" si="73"/>
        <v>0</v>
      </c>
      <c r="AN216" s="119">
        <f t="shared" si="73"/>
        <v>0</v>
      </c>
      <c r="AO216" s="119">
        <f t="shared" si="73"/>
        <v>0</v>
      </c>
      <c r="AP216" s="119">
        <f t="shared" si="73"/>
        <v>0</v>
      </c>
    </row>
    <row r="217" spans="1:42" x14ac:dyDescent="0.2">
      <c r="A217" s="18" t="s">
        <v>358</v>
      </c>
      <c r="B217" s="108"/>
      <c r="C217" s="119">
        <f t="shared" ref="C217:AP217" si="74">-C59</f>
        <v>-3500000</v>
      </c>
      <c r="D217" s="119">
        <f t="shared" si="74"/>
        <v>-3577500</v>
      </c>
      <c r="E217" s="119">
        <f t="shared" si="74"/>
        <v>-3656737.5</v>
      </c>
      <c r="F217" s="119">
        <f t="shared" si="74"/>
        <v>-3737751.9375</v>
      </c>
      <c r="G217" s="119">
        <f t="shared" si="74"/>
        <v>-3820583.6559374994</v>
      </c>
      <c r="H217" s="119">
        <f t="shared" si="74"/>
        <v>-3905273.9257359365</v>
      </c>
      <c r="I217" s="119">
        <f t="shared" si="74"/>
        <v>-3991864.9658473358</v>
      </c>
      <c r="J217" s="119">
        <f t="shared" si="74"/>
        <v>-4080399.9658008786</v>
      </c>
      <c r="K217" s="119">
        <f t="shared" si="74"/>
        <v>-4170923.1082694074</v>
      </c>
      <c r="L217" s="119">
        <f t="shared" si="74"/>
        <v>-4263479.5921661202</v>
      </c>
      <c r="M217" s="119">
        <f t="shared" si="74"/>
        <v>-4358115.6562840501</v>
      </c>
      <c r="N217" s="119">
        <f t="shared" si="74"/>
        <v>-4454878.6034912029</v>
      </c>
      <c r="O217" s="119">
        <f t="shared" si="74"/>
        <v>-4553816.8254945371</v>
      </c>
      <c r="P217" s="119">
        <f t="shared" si="74"/>
        <v>-4654979.8281862745</v>
      </c>
      <c r="Q217" s="119">
        <f t="shared" si="74"/>
        <v>-4758418.2575863935</v>
      </c>
      <c r="R217" s="119">
        <f t="shared" si="74"/>
        <v>-4864183.9263954237</v>
      </c>
      <c r="S217" s="119">
        <f t="shared" si="74"/>
        <v>-4972329.8411720684</v>
      </c>
      <c r="T217" s="119">
        <f t="shared" si="74"/>
        <v>-5082910.2301504649</v>
      </c>
      <c r="U217" s="119">
        <f t="shared" si="74"/>
        <v>-5195980.571712302</v>
      </c>
      <c r="V217" s="119">
        <f t="shared" si="74"/>
        <v>-5311597.6235293467</v>
      </c>
      <c r="W217" s="119">
        <f t="shared" si="74"/>
        <v>-5429819.4523923015</v>
      </c>
      <c r="X217" s="119">
        <f t="shared" si="74"/>
        <v>-5550705.4647423252</v>
      </c>
      <c r="Y217" s="119">
        <f t="shared" si="74"/>
        <v>-5674316.437921904</v>
      </c>
      <c r="Z217" s="119">
        <f t="shared" si="74"/>
        <v>-5800714.5521621928</v>
      </c>
      <c r="AA217" s="119">
        <f t="shared" si="74"/>
        <v>-5929963.4233243335</v>
      </c>
      <c r="AB217" s="119">
        <f t="shared" si="74"/>
        <v>0</v>
      </c>
      <c r="AC217" s="119">
        <f t="shared" si="74"/>
        <v>0</v>
      </c>
      <c r="AD217" s="119">
        <f t="shared" si="74"/>
        <v>0</v>
      </c>
      <c r="AE217" s="119">
        <f t="shared" si="74"/>
        <v>0</v>
      </c>
      <c r="AF217" s="119">
        <f t="shared" si="74"/>
        <v>0</v>
      </c>
      <c r="AG217" s="119">
        <f t="shared" si="74"/>
        <v>0</v>
      </c>
      <c r="AH217" s="119">
        <f t="shared" si="74"/>
        <v>0</v>
      </c>
      <c r="AI217" s="119">
        <f t="shared" si="74"/>
        <v>0</v>
      </c>
      <c r="AJ217" s="119">
        <f t="shared" si="74"/>
        <v>0</v>
      </c>
      <c r="AK217" s="119">
        <f t="shared" si="74"/>
        <v>0</v>
      </c>
      <c r="AL217" s="119">
        <f t="shared" si="74"/>
        <v>0</v>
      </c>
      <c r="AM217" s="119">
        <f t="shared" si="74"/>
        <v>0</v>
      </c>
      <c r="AN217" s="119">
        <f t="shared" si="74"/>
        <v>0</v>
      </c>
      <c r="AO217" s="119">
        <f t="shared" si="74"/>
        <v>0</v>
      </c>
      <c r="AP217" s="119">
        <f t="shared" si="74"/>
        <v>0</v>
      </c>
    </row>
    <row r="218" spans="1:42" x14ac:dyDescent="0.2">
      <c r="A218" s="18" t="s">
        <v>279</v>
      </c>
      <c r="B218" s="108"/>
      <c r="C218" s="120">
        <f t="shared" ref="C218:AP218" si="75">-C118</f>
        <v>-4024942.4526841561</v>
      </c>
      <c r="D218" s="120">
        <f t="shared" si="75"/>
        <v>-4000942.8595256046</v>
      </c>
      <c r="E218" s="120">
        <f t="shared" si="75"/>
        <v>-3975399.9069920522</v>
      </c>
      <c r="F218" s="120">
        <f t="shared" si="75"/>
        <v>-3948294.0110991257</v>
      </c>
      <c r="G218" s="120">
        <f t="shared" si="75"/>
        <v>-3919564.6782628396</v>
      </c>
      <c r="H218" s="120">
        <f t="shared" si="75"/>
        <v>-3889180.4841596102</v>
      </c>
      <c r="I218" s="120">
        <f t="shared" si="75"/>
        <v>-3857109.0520897629</v>
      </c>
      <c r="J218" s="120">
        <f t="shared" si="75"/>
        <v>-3823297.0308327745</v>
      </c>
      <c r="K218" s="120">
        <f t="shared" si="75"/>
        <v>-3787700.0719821774</v>
      </c>
      <c r="L218" s="120">
        <f t="shared" si="75"/>
        <v>-3750282.8067478091</v>
      </c>
      <c r="M218" s="120">
        <f t="shared" si="75"/>
        <v>-3710998.8222127454</v>
      </c>
      <c r="N218" s="120">
        <f t="shared" si="75"/>
        <v>-3669790.6370319952</v>
      </c>
      <c r="O218" s="120">
        <f t="shared" si="75"/>
        <v>-3626619.6765596867</v>
      </c>
      <c r="P218" s="120">
        <f t="shared" si="75"/>
        <v>-3581436.2473912146</v>
      </c>
      <c r="Q218" s="120">
        <f t="shared" si="75"/>
        <v>-3534179.5113064069</v>
      </c>
      <c r="R218" s="120">
        <f t="shared" si="75"/>
        <v>-4250188.2782936571</v>
      </c>
      <c r="S218" s="120">
        <f t="shared" si="75"/>
        <v>-4186882.9186342387</v>
      </c>
      <c r="T218" s="120">
        <f t="shared" si="75"/>
        <v>-4121364.5986510003</v>
      </c>
      <c r="U218" s="120">
        <f t="shared" si="75"/>
        <v>-4053567.6278091995</v>
      </c>
      <c r="V218" s="120">
        <f t="shared" si="75"/>
        <v>-3983445.0309801926</v>
      </c>
      <c r="W218" s="120">
        <f t="shared" si="75"/>
        <v>-3910928.5184799763</v>
      </c>
      <c r="X218" s="120">
        <f t="shared" si="75"/>
        <v>-3835968.4554017596</v>
      </c>
      <c r="Y218" s="120">
        <f t="shared" si="75"/>
        <v>-3758503.8302257825</v>
      </c>
      <c r="Z218" s="120">
        <f t="shared" si="75"/>
        <v>-3678482.2226891862</v>
      </c>
      <c r="AA218" s="120">
        <f t="shared" si="75"/>
        <v>-3629733.3824530034</v>
      </c>
      <c r="AB218" s="120">
        <f t="shared" si="75"/>
        <v>0</v>
      </c>
      <c r="AC218" s="120">
        <f t="shared" si="75"/>
        <v>0</v>
      </c>
      <c r="AD218" s="120">
        <f t="shared" si="75"/>
        <v>0</v>
      </c>
      <c r="AE218" s="120">
        <f t="shared" si="75"/>
        <v>0</v>
      </c>
      <c r="AF218" s="120">
        <f t="shared" si="75"/>
        <v>0</v>
      </c>
      <c r="AG218" s="120">
        <f t="shared" si="75"/>
        <v>0</v>
      </c>
      <c r="AH218" s="120">
        <f t="shared" si="75"/>
        <v>0</v>
      </c>
      <c r="AI218" s="120">
        <f t="shared" si="75"/>
        <v>0</v>
      </c>
      <c r="AJ218" s="120">
        <f t="shared" si="75"/>
        <v>0</v>
      </c>
      <c r="AK218" s="120">
        <f t="shared" si="75"/>
        <v>0</v>
      </c>
      <c r="AL218" s="120">
        <f t="shared" si="75"/>
        <v>0</v>
      </c>
      <c r="AM218" s="120">
        <f t="shared" si="75"/>
        <v>0</v>
      </c>
      <c r="AN218" s="120">
        <f t="shared" si="75"/>
        <v>0</v>
      </c>
      <c r="AO218" s="120">
        <f t="shared" si="75"/>
        <v>0</v>
      </c>
      <c r="AP218" s="120">
        <f t="shared" si="75"/>
        <v>0</v>
      </c>
    </row>
    <row r="219" spans="1:42" x14ac:dyDescent="0.2">
      <c r="A219" s="18" t="s">
        <v>288</v>
      </c>
      <c r="B219" s="108"/>
      <c r="C219" s="119">
        <f>SUM(C213:C218)</f>
        <v>2985888.4376451191</v>
      </c>
      <c r="D219" s="119">
        <f t="shared" ref="D219:AP219" si="76">SUM(D213:D218)</f>
        <v>3026357.1876451182</v>
      </c>
      <c r="E219" s="119">
        <f t="shared" si="76"/>
        <v>3067637.6563951201</v>
      </c>
      <c r="F219" s="119">
        <f t="shared" si="76"/>
        <v>3109746.1368638691</v>
      </c>
      <c r="G219" s="119">
        <f t="shared" si="76"/>
        <v>3152699.2493443382</v>
      </c>
      <c r="H219" s="119">
        <f t="shared" si="76"/>
        <v>3196513.9480368178</v>
      </c>
      <c r="I219" s="119">
        <f t="shared" si="76"/>
        <v>3241207.52776461</v>
      </c>
      <c r="J219" s="119">
        <f t="shared" si="76"/>
        <v>3286797.6308249566</v>
      </c>
      <c r="K219" s="119">
        <f t="shared" si="76"/>
        <v>3333302.2539779604</v>
      </c>
      <c r="L219" s="119">
        <f t="shared" si="76"/>
        <v>3380739.7555762585</v>
      </c>
      <c r="M219" s="119">
        <f t="shared" si="76"/>
        <v>3429128.8628383148</v>
      </c>
      <c r="N219" s="119">
        <f t="shared" si="76"/>
        <v>3478488.6792681967</v>
      </c>
      <c r="O219" s="119">
        <f t="shared" si="76"/>
        <v>3528838.6922248285</v>
      </c>
      <c r="P219" s="119">
        <f t="shared" si="76"/>
        <v>3580198.780643695</v>
      </c>
      <c r="Q219" s="119">
        <f t="shared" si="76"/>
        <v>3632589.2229141202</v>
      </c>
      <c r="R219" s="119">
        <f t="shared" si="76"/>
        <v>2744048.1575993719</v>
      </c>
      <c r="S219" s="119">
        <f t="shared" si="76"/>
        <v>2798561.7808978856</v>
      </c>
      <c r="T219" s="119">
        <f t="shared" si="76"/>
        <v>2854169.0711111939</v>
      </c>
      <c r="U219" s="119">
        <f t="shared" si="76"/>
        <v>2910891.9864388192</v>
      </c>
      <c r="V219" s="119">
        <f t="shared" si="76"/>
        <v>2968752.9263657941</v>
      </c>
      <c r="W219" s="119">
        <f t="shared" si="76"/>
        <v>3027774.7405414279</v>
      </c>
      <c r="X219" s="119">
        <f t="shared" si="76"/>
        <v>3087980.7378369477</v>
      </c>
      <c r="Y219" s="119">
        <f t="shared" si="76"/>
        <v>3149394.6955856625</v>
      </c>
      <c r="Z219" s="119">
        <f t="shared" si="76"/>
        <v>3212040.8690093113</v>
      </c>
      <c r="AA219" s="119">
        <f t="shared" si="76"/>
        <v>3242030.3892797255</v>
      </c>
      <c r="AB219" s="119">
        <f t="shared" si="76"/>
        <v>0</v>
      </c>
      <c r="AC219" s="119">
        <f t="shared" si="76"/>
        <v>0</v>
      </c>
      <c r="AD219" s="119">
        <f t="shared" si="76"/>
        <v>0</v>
      </c>
      <c r="AE219" s="119">
        <f t="shared" si="76"/>
        <v>0</v>
      </c>
      <c r="AF219" s="119">
        <f t="shared" si="76"/>
        <v>0</v>
      </c>
      <c r="AG219" s="119">
        <f t="shared" si="76"/>
        <v>0</v>
      </c>
      <c r="AH219" s="119">
        <f t="shared" si="76"/>
        <v>0</v>
      </c>
      <c r="AI219" s="119">
        <f t="shared" si="76"/>
        <v>0</v>
      </c>
      <c r="AJ219" s="119">
        <f t="shared" si="76"/>
        <v>0</v>
      </c>
      <c r="AK219" s="119">
        <f t="shared" si="76"/>
        <v>0</v>
      </c>
      <c r="AL219" s="119">
        <f t="shared" si="76"/>
        <v>0</v>
      </c>
      <c r="AM219" s="119">
        <f t="shared" si="76"/>
        <v>0</v>
      </c>
      <c r="AN219" s="119">
        <f t="shared" si="76"/>
        <v>0</v>
      </c>
      <c r="AO219" s="119">
        <f t="shared" si="76"/>
        <v>0</v>
      </c>
      <c r="AP219" s="119">
        <f t="shared" si="76"/>
        <v>0</v>
      </c>
    </row>
    <row r="220" spans="1:42" x14ac:dyDescent="0.2">
      <c r="A220" s="18" t="s">
        <v>429</v>
      </c>
      <c r="B220" s="108"/>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E220" s="119"/>
      <c r="AF220" s="119"/>
      <c r="AG220" s="119"/>
      <c r="AH220" s="119"/>
      <c r="AI220" s="119"/>
      <c r="AJ220" s="119"/>
      <c r="AK220" s="119"/>
      <c r="AL220" s="119"/>
      <c r="AM220" s="119"/>
      <c r="AN220" s="119"/>
      <c r="AO220" s="119"/>
      <c r="AP220" s="119"/>
    </row>
    <row r="221" spans="1:42" x14ac:dyDescent="0.2">
      <c r="A221" s="87" t="s">
        <v>4</v>
      </c>
      <c r="B221" s="108"/>
      <c r="C221" s="119">
        <f t="shared" ref="C221:AP221" si="77">IF(pbi_fed_tax_sta="No",-C638,0)</f>
        <v>0</v>
      </c>
      <c r="D221" s="119">
        <f t="shared" si="77"/>
        <v>0</v>
      </c>
      <c r="E221" s="119">
        <f t="shared" si="77"/>
        <v>0</v>
      </c>
      <c r="F221" s="119">
        <f t="shared" si="77"/>
        <v>0</v>
      </c>
      <c r="G221" s="119">
        <f t="shared" si="77"/>
        <v>0</v>
      </c>
      <c r="H221" s="119">
        <f t="shared" si="77"/>
        <v>0</v>
      </c>
      <c r="I221" s="119">
        <f t="shared" si="77"/>
        <v>0</v>
      </c>
      <c r="J221" s="119">
        <f t="shared" si="77"/>
        <v>0</v>
      </c>
      <c r="K221" s="119">
        <f t="shared" si="77"/>
        <v>0</v>
      </c>
      <c r="L221" s="119">
        <f t="shared" si="77"/>
        <v>0</v>
      </c>
      <c r="M221" s="119">
        <f t="shared" si="77"/>
        <v>0</v>
      </c>
      <c r="N221" s="119">
        <f t="shared" si="77"/>
        <v>0</v>
      </c>
      <c r="O221" s="119">
        <f t="shared" si="77"/>
        <v>0</v>
      </c>
      <c r="P221" s="119">
        <f t="shared" si="77"/>
        <v>0</v>
      </c>
      <c r="Q221" s="119">
        <f t="shared" si="77"/>
        <v>0</v>
      </c>
      <c r="R221" s="119">
        <f t="shared" si="77"/>
        <v>0</v>
      </c>
      <c r="S221" s="119">
        <f t="shared" si="77"/>
        <v>0</v>
      </c>
      <c r="T221" s="119">
        <f t="shared" si="77"/>
        <v>0</v>
      </c>
      <c r="U221" s="119">
        <f t="shared" si="77"/>
        <v>0</v>
      </c>
      <c r="V221" s="119">
        <f t="shared" si="77"/>
        <v>0</v>
      </c>
      <c r="W221" s="119">
        <f t="shared" si="77"/>
        <v>0</v>
      </c>
      <c r="X221" s="119">
        <f t="shared" si="77"/>
        <v>0</v>
      </c>
      <c r="Y221" s="119">
        <f t="shared" si="77"/>
        <v>0</v>
      </c>
      <c r="Z221" s="119">
        <f t="shared" si="77"/>
        <v>0</v>
      </c>
      <c r="AA221" s="119">
        <f t="shared" si="77"/>
        <v>0</v>
      </c>
      <c r="AB221" s="119">
        <f t="shared" si="77"/>
        <v>0</v>
      </c>
      <c r="AC221" s="119">
        <f t="shared" si="77"/>
        <v>0</v>
      </c>
      <c r="AD221" s="119">
        <f t="shared" si="77"/>
        <v>0</v>
      </c>
      <c r="AE221" s="119">
        <f t="shared" si="77"/>
        <v>0</v>
      </c>
      <c r="AF221" s="119">
        <f t="shared" si="77"/>
        <v>0</v>
      </c>
      <c r="AG221" s="119">
        <f t="shared" si="77"/>
        <v>0</v>
      </c>
      <c r="AH221" s="119">
        <f t="shared" si="77"/>
        <v>0</v>
      </c>
      <c r="AI221" s="119">
        <f t="shared" si="77"/>
        <v>0</v>
      </c>
      <c r="AJ221" s="119">
        <f t="shared" si="77"/>
        <v>0</v>
      </c>
      <c r="AK221" s="119">
        <f t="shared" si="77"/>
        <v>0</v>
      </c>
      <c r="AL221" s="119">
        <f t="shared" si="77"/>
        <v>0</v>
      </c>
      <c r="AM221" s="119">
        <f t="shared" si="77"/>
        <v>0</v>
      </c>
      <c r="AN221" s="119">
        <f t="shared" si="77"/>
        <v>0</v>
      </c>
      <c r="AO221" s="119">
        <f t="shared" si="77"/>
        <v>0</v>
      </c>
      <c r="AP221" s="119">
        <f t="shared" si="77"/>
        <v>0</v>
      </c>
    </row>
    <row r="222" spans="1:42" x14ac:dyDescent="0.2">
      <c r="A222" s="87" t="s">
        <v>5</v>
      </c>
      <c r="B222" s="108"/>
      <c r="C222" s="119">
        <f t="shared" ref="C222:AP222" si="78">IF(pbi_sta_tax_sta="No",-C642,0)</f>
        <v>0</v>
      </c>
      <c r="D222" s="119">
        <f t="shared" si="78"/>
        <v>0</v>
      </c>
      <c r="E222" s="119">
        <f t="shared" si="78"/>
        <v>0</v>
      </c>
      <c r="F222" s="119">
        <f t="shared" si="78"/>
        <v>0</v>
      </c>
      <c r="G222" s="119">
        <f t="shared" si="78"/>
        <v>0</v>
      </c>
      <c r="H222" s="119">
        <f t="shared" si="78"/>
        <v>0</v>
      </c>
      <c r="I222" s="119">
        <f t="shared" si="78"/>
        <v>0</v>
      </c>
      <c r="J222" s="119">
        <f t="shared" si="78"/>
        <v>0</v>
      </c>
      <c r="K222" s="119">
        <f t="shared" si="78"/>
        <v>0</v>
      </c>
      <c r="L222" s="119">
        <f t="shared" si="78"/>
        <v>0</v>
      </c>
      <c r="M222" s="119">
        <f t="shared" si="78"/>
        <v>0</v>
      </c>
      <c r="N222" s="119">
        <f t="shared" si="78"/>
        <v>0</v>
      </c>
      <c r="O222" s="119">
        <f t="shared" si="78"/>
        <v>0</v>
      </c>
      <c r="P222" s="119">
        <f t="shared" si="78"/>
        <v>0</v>
      </c>
      <c r="Q222" s="119">
        <f t="shared" si="78"/>
        <v>0</v>
      </c>
      <c r="R222" s="119">
        <f t="shared" si="78"/>
        <v>0</v>
      </c>
      <c r="S222" s="119">
        <f t="shared" si="78"/>
        <v>0</v>
      </c>
      <c r="T222" s="119">
        <f t="shared" si="78"/>
        <v>0</v>
      </c>
      <c r="U222" s="119">
        <f t="shared" si="78"/>
        <v>0</v>
      </c>
      <c r="V222" s="119">
        <f t="shared" si="78"/>
        <v>0</v>
      </c>
      <c r="W222" s="119">
        <f t="shared" si="78"/>
        <v>0</v>
      </c>
      <c r="X222" s="119">
        <f t="shared" si="78"/>
        <v>0</v>
      </c>
      <c r="Y222" s="119">
        <f t="shared" si="78"/>
        <v>0</v>
      </c>
      <c r="Z222" s="119">
        <f t="shared" si="78"/>
        <v>0</v>
      </c>
      <c r="AA222" s="119">
        <f t="shared" si="78"/>
        <v>0</v>
      </c>
      <c r="AB222" s="119">
        <f t="shared" si="78"/>
        <v>0</v>
      </c>
      <c r="AC222" s="119">
        <f t="shared" si="78"/>
        <v>0</v>
      </c>
      <c r="AD222" s="119">
        <f t="shared" si="78"/>
        <v>0</v>
      </c>
      <c r="AE222" s="119">
        <f t="shared" si="78"/>
        <v>0</v>
      </c>
      <c r="AF222" s="119">
        <f t="shared" si="78"/>
        <v>0</v>
      </c>
      <c r="AG222" s="119">
        <f t="shared" si="78"/>
        <v>0</v>
      </c>
      <c r="AH222" s="119">
        <f t="shared" si="78"/>
        <v>0</v>
      </c>
      <c r="AI222" s="119">
        <f t="shared" si="78"/>
        <v>0</v>
      </c>
      <c r="AJ222" s="119">
        <f t="shared" si="78"/>
        <v>0</v>
      </c>
      <c r="AK222" s="119">
        <f t="shared" si="78"/>
        <v>0</v>
      </c>
      <c r="AL222" s="119">
        <f t="shared" si="78"/>
        <v>0</v>
      </c>
      <c r="AM222" s="119">
        <f t="shared" si="78"/>
        <v>0</v>
      </c>
      <c r="AN222" s="119">
        <f t="shared" si="78"/>
        <v>0</v>
      </c>
      <c r="AO222" s="119">
        <f t="shared" si="78"/>
        <v>0</v>
      </c>
      <c r="AP222" s="119">
        <f t="shared" si="78"/>
        <v>0</v>
      </c>
    </row>
    <row r="223" spans="1:42" x14ac:dyDescent="0.2">
      <c r="A223" s="87" t="s">
        <v>162</v>
      </c>
      <c r="B223" s="108"/>
      <c r="C223" s="119">
        <f t="shared" ref="C223:AP223" si="79">IF(pbi_uti_tax_sta="No",-C646,0)</f>
        <v>0</v>
      </c>
      <c r="D223" s="119">
        <f t="shared" si="79"/>
        <v>0</v>
      </c>
      <c r="E223" s="119">
        <f t="shared" si="79"/>
        <v>0</v>
      </c>
      <c r="F223" s="119">
        <f t="shared" si="79"/>
        <v>0</v>
      </c>
      <c r="G223" s="119">
        <f t="shared" si="79"/>
        <v>0</v>
      </c>
      <c r="H223" s="119">
        <f t="shared" si="79"/>
        <v>0</v>
      </c>
      <c r="I223" s="119">
        <f t="shared" si="79"/>
        <v>0</v>
      </c>
      <c r="J223" s="119">
        <f t="shared" si="79"/>
        <v>0</v>
      </c>
      <c r="K223" s="119">
        <f t="shared" si="79"/>
        <v>0</v>
      </c>
      <c r="L223" s="119">
        <f t="shared" si="79"/>
        <v>0</v>
      </c>
      <c r="M223" s="119">
        <f t="shared" si="79"/>
        <v>0</v>
      </c>
      <c r="N223" s="119">
        <f t="shared" si="79"/>
        <v>0</v>
      </c>
      <c r="O223" s="119">
        <f t="shared" si="79"/>
        <v>0</v>
      </c>
      <c r="P223" s="119">
        <f t="shared" si="79"/>
        <v>0</v>
      </c>
      <c r="Q223" s="119">
        <f t="shared" si="79"/>
        <v>0</v>
      </c>
      <c r="R223" s="119">
        <f t="shared" si="79"/>
        <v>0</v>
      </c>
      <c r="S223" s="119">
        <f t="shared" si="79"/>
        <v>0</v>
      </c>
      <c r="T223" s="119">
        <f t="shared" si="79"/>
        <v>0</v>
      </c>
      <c r="U223" s="119">
        <f t="shared" si="79"/>
        <v>0</v>
      </c>
      <c r="V223" s="119">
        <f t="shared" si="79"/>
        <v>0</v>
      </c>
      <c r="W223" s="119">
        <f t="shared" si="79"/>
        <v>0</v>
      </c>
      <c r="X223" s="119">
        <f t="shared" si="79"/>
        <v>0</v>
      </c>
      <c r="Y223" s="119">
        <f t="shared" si="79"/>
        <v>0</v>
      </c>
      <c r="Z223" s="119">
        <f t="shared" si="79"/>
        <v>0</v>
      </c>
      <c r="AA223" s="119">
        <f t="shared" si="79"/>
        <v>0</v>
      </c>
      <c r="AB223" s="119">
        <f t="shared" si="79"/>
        <v>0</v>
      </c>
      <c r="AC223" s="119">
        <f t="shared" si="79"/>
        <v>0</v>
      </c>
      <c r="AD223" s="119">
        <f t="shared" si="79"/>
        <v>0</v>
      </c>
      <c r="AE223" s="119">
        <f t="shared" si="79"/>
        <v>0</v>
      </c>
      <c r="AF223" s="119">
        <f t="shared" si="79"/>
        <v>0</v>
      </c>
      <c r="AG223" s="119">
        <f t="shared" si="79"/>
        <v>0</v>
      </c>
      <c r="AH223" s="119">
        <f t="shared" si="79"/>
        <v>0</v>
      </c>
      <c r="AI223" s="119">
        <f t="shared" si="79"/>
        <v>0</v>
      </c>
      <c r="AJ223" s="119">
        <f t="shared" si="79"/>
        <v>0</v>
      </c>
      <c r="AK223" s="119">
        <f t="shared" si="79"/>
        <v>0</v>
      </c>
      <c r="AL223" s="119">
        <f t="shared" si="79"/>
        <v>0</v>
      </c>
      <c r="AM223" s="119">
        <f t="shared" si="79"/>
        <v>0</v>
      </c>
      <c r="AN223" s="119">
        <f t="shared" si="79"/>
        <v>0</v>
      </c>
      <c r="AO223" s="119">
        <f t="shared" si="79"/>
        <v>0</v>
      </c>
      <c r="AP223" s="119">
        <f t="shared" si="79"/>
        <v>0</v>
      </c>
    </row>
    <row r="224" spans="1:42" x14ac:dyDescent="0.2">
      <c r="A224" s="87" t="s">
        <v>163</v>
      </c>
      <c r="B224" s="108"/>
      <c r="C224" s="120">
        <f t="shared" ref="C224:AP224" si="80">IF(pbi_oth_tax_sta="No",-C650,0)</f>
        <v>0</v>
      </c>
      <c r="D224" s="120">
        <f t="shared" si="80"/>
        <v>0</v>
      </c>
      <c r="E224" s="120">
        <f t="shared" si="80"/>
        <v>0</v>
      </c>
      <c r="F224" s="120">
        <f t="shared" si="80"/>
        <v>0</v>
      </c>
      <c r="G224" s="120">
        <f t="shared" si="80"/>
        <v>0</v>
      </c>
      <c r="H224" s="120">
        <f t="shared" si="80"/>
        <v>0</v>
      </c>
      <c r="I224" s="120">
        <f t="shared" si="80"/>
        <v>0</v>
      </c>
      <c r="J224" s="120">
        <f t="shared" si="80"/>
        <v>0</v>
      </c>
      <c r="K224" s="120">
        <f t="shared" si="80"/>
        <v>0</v>
      </c>
      <c r="L224" s="120">
        <f t="shared" si="80"/>
        <v>0</v>
      </c>
      <c r="M224" s="120">
        <f t="shared" si="80"/>
        <v>0</v>
      </c>
      <c r="N224" s="120">
        <f t="shared" si="80"/>
        <v>0</v>
      </c>
      <c r="O224" s="120">
        <f t="shared" si="80"/>
        <v>0</v>
      </c>
      <c r="P224" s="120">
        <f t="shared" si="80"/>
        <v>0</v>
      </c>
      <c r="Q224" s="120">
        <f t="shared" si="80"/>
        <v>0</v>
      </c>
      <c r="R224" s="120">
        <f t="shared" si="80"/>
        <v>0</v>
      </c>
      <c r="S224" s="120">
        <f t="shared" si="80"/>
        <v>0</v>
      </c>
      <c r="T224" s="120">
        <f t="shared" si="80"/>
        <v>0</v>
      </c>
      <c r="U224" s="120">
        <f t="shared" si="80"/>
        <v>0</v>
      </c>
      <c r="V224" s="120">
        <f t="shared" si="80"/>
        <v>0</v>
      </c>
      <c r="W224" s="120">
        <f t="shared" si="80"/>
        <v>0</v>
      </c>
      <c r="X224" s="120">
        <f t="shared" si="80"/>
        <v>0</v>
      </c>
      <c r="Y224" s="120">
        <f t="shared" si="80"/>
        <v>0</v>
      </c>
      <c r="Z224" s="120">
        <f t="shared" si="80"/>
        <v>0</v>
      </c>
      <c r="AA224" s="120">
        <f t="shared" si="80"/>
        <v>0</v>
      </c>
      <c r="AB224" s="120">
        <f t="shared" si="80"/>
        <v>0</v>
      </c>
      <c r="AC224" s="120">
        <f t="shared" si="80"/>
        <v>0</v>
      </c>
      <c r="AD224" s="120">
        <f t="shared" si="80"/>
        <v>0</v>
      </c>
      <c r="AE224" s="120">
        <f t="shared" si="80"/>
        <v>0</v>
      </c>
      <c r="AF224" s="120">
        <f t="shared" si="80"/>
        <v>0</v>
      </c>
      <c r="AG224" s="120">
        <f t="shared" si="80"/>
        <v>0</v>
      </c>
      <c r="AH224" s="120">
        <f t="shared" si="80"/>
        <v>0</v>
      </c>
      <c r="AI224" s="120">
        <f t="shared" si="80"/>
        <v>0</v>
      </c>
      <c r="AJ224" s="120">
        <f t="shared" si="80"/>
        <v>0</v>
      </c>
      <c r="AK224" s="120">
        <f t="shared" si="80"/>
        <v>0</v>
      </c>
      <c r="AL224" s="120">
        <f t="shared" si="80"/>
        <v>0</v>
      </c>
      <c r="AM224" s="120">
        <f t="shared" si="80"/>
        <v>0</v>
      </c>
      <c r="AN224" s="120">
        <f t="shared" si="80"/>
        <v>0</v>
      </c>
      <c r="AO224" s="120">
        <f t="shared" si="80"/>
        <v>0</v>
      </c>
      <c r="AP224" s="120">
        <f t="shared" si="80"/>
        <v>0</v>
      </c>
    </row>
    <row r="225" spans="1:42" x14ac:dyDescent="0.2">
      <c r="A225" s="87" t="s">
        <v>13</v>
      </c>
      <c r="B225" s="108"/>
      <c r="C225" s="288">
        <f>SUM(C221:C224)</f>
        <v>0</v>
      </c>
      <c r="D225" s="288">
        <f t="shared" ref="D225:AP225" si="81">SUM(D221:D224)</f>
        <v>0</v>
      </c>
      <c r="E225" s="288">
        <f t="shared" si="81"/>
        <v>0</v>
      </c>
      <c r="F225" s="288">
        <f t="shared" si="81"/>
        <v>0</v>
      </c>
      <c r="G225" s="288">
        <f t="shared" si="81"/>
        <v>0</v>
      </c>
      <c r="H225" s="288">
        <f t="shared" si="81"/>
        <v>0</v>
      </c>
      <c r="I225" s="288">
        <f t="shared" si="81"/>
        <v>0</v>
      </c>
      <c r="J225" s="288">
        <f t="shared" si="81"/>
        <v>0</v>
      </c>
      <c r="K225" s="288">
        <f t="shared" si="81"/>
        <v>0</v>
      </c>
      <c r="L225" s="288">
        <f t="shared" si="81"/>
        <v>0</v>
      </c>
      <c r="M225" s="288">
        <f t="shared" si="81"/>
        <v>0</v>
      </c>
      <c r="N225" s="288">
        <f t="shared" si="81"/>
        <v>0</v>
      </c>
      <c r="O225" s="288">
        <f t="shared" si="81"/>
        <v>0</v>
      </c>
      <c r="P225" s="288">
        <f t="shared" si="81"/>
        <v>0</v>
      </c>
      <c r="Q225" s="288">
        <f t="shared" si="81"/>
        <v>0</v>
      </c>
      <c r="R225" s="288">
        <f t="shared" si="81"/>
        <v>0</v>
      </c>
      <c r="S225" s="288">
        <f t="shared" si="81"/>
        <v>0</v>
      </c>
      <c r="T225" s="288">
        <f t="shared" si="81"/>
        <v>0</v>
      </c>
      <c r="U225" s="288">
        <f t="shared" si="81"/>
        <v>0</v>
      </c>
      <c r="V225" s="288">
        <f t="shared" si="81"/>
        <v>0</v>
      </c>
      <c r="W225" s="288">
        <f t="shared" si="81"/>
        <v>0</v>
      </c>
      <c r="X225" s="288">
        <f t="shared" si="81"/>
        <v>0</v>
      </c>
      <c r="Y225" s="288">
        <f t="shared" si="81"/>
        <v>0</v>
      </c>
      <c r="Z225" s="288">
        <f t="shared" si="81"/>
        <v>0</v>
      </c>
      <c r="AA225" s="288">
        <f t="shared" si="81"/>
        <v>0</v>
      </c>
      <c r="AB225" s="288">
        <f t="shared" si="81"/>
        <v>0</v>
      </c>
      <c r="AC225" s="288">
        <f t="shared" si="81"/>
        <v>0</v>
      </c>
      <c r="AD225" s="288">
        <f t="shared" si="81"/>
        <v>0</v>
      </c>
      <c r="AE225" s="288">
        <f t="shared" si="81"/>
        <v>0</v>
      </c>
      <c r="AF225" s="288">
        <f t="shared" si="81"/>
        <v>0</v>
      </c>
      <c r="AG225" s="288">
        <f t="shared" si="81"/>
        <v>0</v>
      </c>
      <c r="AH225" s="288">
        <f t="shared" si="81"/>
        <v>0</v>
      </c>
      <c r="AI225" s="288">
        <f t="shared" si="81"/>
        <v>0</v>
      </c>
      <c r="AJ225" s="288">
        <f t="shared" si="81"/>
        <v>0</v>
      </c>
      <c r="AK225" s="288">
        <f t="shared" si="81"/>
        <v>0</v>
      </c>
      <c r="AL225" s="288">
        <f t="shared" si="81"/>
        <v>0</v>
      </c>
      <c r="AM225" s="288">
        <f t="shared" si="81"/>
        <v>0</v>
      </c>
      <c r="AN225" s="288">
        <f t="shared" si="81"/>
        <v>0</v>
      </c>
      <c r="AO225" s="288">
        <f t="shared" si="81"/>
        <v>0</v>
      </c>
      <c r="AP225" s="288">
        <f t="shared" si="81"/>
        <v>0</v>
      </c>
    </row>
    <row r="226" spans="1:42" x14ac:dyDescent="0.2">
      <c r="A226" s="18" t="s">
        <v>287</v>
      </c>
      <c r="B226" s="108"/>
      <c r="C226" s="119">
        <f>C219+C225</f>
        <v>2985888.4376451191</v>
      </c>
      <c r="D226" s="119">
        <f t="shared" ref="D226:AP226" si="82">D219+D225</f>
        <v>3026357.1876451182</v>
      </c>
      <c r="E226" s="119">
        <f t="shared" si="82"/>
        <v>3067637.6563951201</v>
      </c>
      <c r="F226" s="119">
        <f t="shared" si="82"/>
        <v>3109746.1368638691</v>
      </c>
      <c r="G226" s="119">
        <f t="shared" si="82"/>
        <v>3152699.2493443382</v>
      </c>
      <c r="H226" s="119">
        <f t="shared" si="82"/>
        <v>3196513.9480368178</v>
      </c>
      <c r="I226" s="119">
        <f t="shared" si="82"/>
        <v>3241207.52776461</v>
      </c>
      <c r="J226" s="119">
        <f t="shared" si="82"/>
        <v>3286797.6308249566</v>
      </c>
      <c r="K226" s="119">
        <f t="shared" si="82"/>
        <v>3333302.2539779604</v>
      </c>
      <c r="L226" s="119">
        <f t="shared" si="82"/>
        <v>3380739.7555762585</v>
      </c>
      <c r="M226" s="119">
        <f t="shared" si="82"/>
        <v>3429128.8628383148</v>
      </c>
      <c r="N226" s="119">
        <f t="shared" si="82"/>
        <v>3478488.6792681967</v>
      </c>
      <c r="O226" s="119">
        <f t="shared" si="82"/>
        <v>3528838.6922248285</v>
      </c>
      <c r="P226" s="119">
        <f t="shared" si="82"/>
        <v>3580198.780643695</v>
      </c>
      <c r="Q226" s="119">
        <f t="shared" si="82"/>
        <v>3632589.2229141202</v>
      </c>
      <c r="R226" s="119">
        <f t="shared" si="82"/>
        <v>2744048.1575993719</v>
      </c>
      <c r="S226" s="119">
        <f t="shared" si="82"/>
        <v>2798561.7808978856</v>
      </c>
      <c r="T226" s="119">
        <f t="shared" si="82"/>
        <v>2854169.0711111939</v>
      </c>
      <c r="U226" s="119">
        <f t="shared" si="82"/>
        <v>2910891.9864388192</v>
      </c>
      <c r="V226" s="119">
        <f t="shared" si="82"/>
        <v>2968752.9263657941</v>
      </c>
      <c r="W226" s="119">
        <f t="shared" si="82"/>
        <v>3027774.7405414279</v>
      </c>
      <c r="X226" s="119">
        <f t="shared" si="82"/>
        <v>3087980.7378369477</v>
      </c>
      <c r="Y226" s="119">
        <f t="shared" si="82"/>
        <v>3149394.6955856625</v>
      </c>
      <c r="Z226" s="119">
        <f t="shared" si="82"/>
        <v>3212040.8690093113</v>
      </c>
      <c r="AA226" s="119">
        <f t="shared" si="82"/>
        <v>3242030.3892797255</v>
      </c>
      <c r="AB226" s="119">
        <f t="shared" si="82"/>
        <v>0</v>
      </c>
      <c r="AC226" s="119">
        <f t="shared" si="82"/>
        <v>0</v>
      </c>
      <c r="AD226" s="119">
        <f t="shared" si="82"/>
        <v>0</v>
      </c>
      <c r="AE226" s="119">
        <f t="shared" si="82"/>
        <v>0</v>
      </c>
      <c r="AF226" s="119">
        <f t="shared" si="82"/>
        <v>0</v>
      </c>
      <c r="AG226" s="119">
        <f t="shared" si="82"/>
        <v>0</v>
      </c>
      <c r="AH226" s="119">
        <f t="shared" si="82"/>
        <v>0</v>
      </c>
      <c r="AI226" s="119">
        <f t="shared" si="82"/>
        <v>0</v>
      </c>
      <c r="AJ226" s="119">
        <f t="shared" si="82"/>
        <v>0</v>
      </c>
      <c r="AK226" s="119">
        <f t="shared" si="82"/>
        <v>0</v>
      </c>
      <c r="AL226" s="119">
        <f t="shared" si="82"/>
        <v>0</v>
      </c>
      <c r="AM226" s="119">
        <f t="shared" si="82"/>
        <v>0</v>
      </c>
      <c r="AN226" s="119">
        <f t="shared" si="82"/>
        <v>0</v>
      </c>
      <c r="AO226" s="119">
        <f t="shared" si="82"/>
        <v>0</v>
      </c>
      <c r="AP226" s="119">
        <f t="shared" si="82"/>
        <v>0</v>
      </c>
    </row>
    <row r="227" spans="1:42" x14ac:dyDescent="0.2">
      <c r="A227" s="18" t="s">
        <v>305</v>
      </c>
      <c r="B227" s="108"/>
      <c r="C227" s="119">
        <f t="array" ref="C227:AP227">Inputs!D156:AQ156</f>
        <v>7</v>
      </c>
      <c r="D227" s="119">
        <v>7</v>
      </c>
      <c r="E227" s="119">
        <v>7</v>
      </c>
      <c r="F227" s="119">
        <v>7</v>
      </c>
      <c r="G227" s="119">
        <v>7</v>
      </c>
      <c r="H227" s="119">
        <v>7</v>
      </c>
      <c r="I227" s="119">
        <v>7</v>
      </c>
      <c r="J227" s="119">
        <v>7</v>
      </c>
      <c r="K227" s="119">
        <v>7</v>
      </c>
      <c r="L227" s="119">
        <v>7</v>
      </c>
      <c r="M227" s="119">
        <v>7</v>
      </c>
      <c r="N227" s="119">
        <v>7</v>
      </c>
      <c r="O227" s="119">
        <v>7</v>
      </c>
      <c r="P227" s="119">
        <v>7</v>
      </c>
      <c r="Q227" s="119">
        <v>7</v>
      </c>
      <c r="R227" s="119">
        <v>7</v>
      </c>
      <c r="S227" s="119">
        <v>7</v>
      </c>
      <c r="T227" s="119">
        <v>7</v>
      </c>
      <c r="U227" s="119">
        <v>7</v>
      </c>
      <c r="V227" s="119">
        <v>7</v>
      </c>
      <c r="W227" s="119">
        <v>7</v>
      </c>
      <c r="X227" s="119">
        <v>7</v>
      </c>
      <c r="Y227" s="119">
        <v>7</v>
      </c>
      <c r="Z227" s="119">
        <v>7</v>
      </c>
      <c r="AA227" s="119">
        <v>7</v>
      </c>
      <c r="AB227" s="119">
        <v>0</v>
      </c>
      <c r="AC227" s="119">
        <v>0</v>
      </c>
      <c r="AD227" s="119">
        <v>0</v>
      </c>
      <c r="AE227" s="119">
        <v>0</v>
      </c>
      <c r="AF227" s="119">
        <v>0</v>
      </c>
      <c r="AG227" s="119">
        <v>0</v>
      </c>
      <c r="AH227" s="119">
        <v>0</v>
      </c>
      <c r="AI227" s="119">
        <v>0</v>
      </c>
      <c r="AJ227" s="119">
        <v>0</v>
      </c>
      <c r="AK227" s="119">
        <v>0</v>
      </c>
      <c r="AL227" s="119">
        <v>0</v>
      </c>
      <c r="AM227" s="119">
        <v>0</v>
      </c>
      <c r="AN227" s="119">
        <v>0</v>
      </c>
      <c r="AO227" s="119">
        <v>0</v>
      </c>
      <c r="AP227" s="119">
        <v>0</v>
      </c>
    </row>
    <row r="228" spans="1:42" x14ac:dyDescent="0.2">
      <c r="A228" s="289" t="s">
        <v>306</v>
      </c>
      <c r="B228" s="292"/>
      <c r="C228" s="288">
        <f>C226*-C227/100</f>
        <v>-209012.19063515833</v>
      </c>
      <c r="D228" s="288">
        <f t="shared" ref="D228:AP228" si="83">D226*-D227/100</f>
        <v>-211845.00313515827</v>
      </c>
      <c r="E228" s="288">
        <f t="shared" si="83"/>
        <v>-214734.63594765842</v>
      </c>
      <c r="F228" s="288">
        <f t="shared" si="83"/>
        <v>-217682.22958047086</v>
      </c>
      <c r="G228" s="288">
        <f t="shared" si="83"/>
        <v>-220688.94745410368</v>
      </c>
      <c r="H228" s="288">
        <f t="shared" si="83"/>
        <v>-223755.97636257723</v>
      </c>
      <c r="I228" s="288">
        <f t="shared" si="83"/>
        <v>-226884.52694352268</v>
      </c>
      <c r="J228" s="288">
        <f t="shared" si="83"/>
        <v>-230075.83415774695</v>
      </c>
      <c r="K228" s="288">
        <f t="shared" si="83"/>
        <v>-233331.15777845721</v>
      </c>
      <c r="L228" s="288">
        <f t="shared" si="83"/>
        <v>-236651.78289033807</v>
      </c>
      <c r="M228" s="288">
        <f t="shared" si="83"/>
        <v>-240039.02039868207</v>
      </c>
      <c r="N228" s="288">
        <f t="shared" si="83"/>
        <v>-243494.20754877376</v>
      </c>
      <c r="O228" s="288">
        <f t="shared" si="83"/>
        <v>-247018.70845573797</v>
      </c>
      <c r="P228" s="288">
        <f t="shared" si="83"/>
        <v>-250613.91464505866</v>
      </c>
      <c r="Q228" s="288">
        <f t="shared" si="83"/>
        <v>-254281.24560398838</v>
      </c>
      <c r="R228" s="288">
        <f t="shared" si="83"/>
        <v>-192083.37103195605</v>
      </c>
      <c r="S228" s="288">
        <f t="shared" si="83"/>
        <v>-195899.32466285198</v>
      </c>
      <c r="T228" s="288">
        <f t="shared" si="83"/>
        <v>-199791.83497778355</v>
      </c>
      <c r="U228" s="288">
        <f t="shared" si="83"/>
        <v>-203762.43905071737</v>
      </c>
      <c r="V228" s="288">
        <f t="shared" si="83"/>
        <v>-207812.70484560559</v>
      </c>
      <c r="W228" s="288">
        <f t="shared" si="83"/>
        <v>-211944.23183789995</v>
      </c>
      <c r="X228" s="288">
        <f t="shared" si="83"/>
        <v>-216158.65164858632</v>
      </c>
      <c r="Y228" s="288">
        <f t="shared" si="83"/>
        <v>-220457.62869099638</v>
      </c>
      <c r="Z228" s="288">
        <f t="shared" si="83"/>
        <v>-224842.86083065177</v>
      </c>
      <c r="AA228" s="288">
        <f t="shared" si="83"/>
        <v>-226942.12724958078</v>
      </c>
      <c r="AB228" s="288">
        <f t="shared" si="83"/>
        <v>0</v>
      </c>
      <c r="AC228" s="288">
        <f t="shared" si="83"/>
        <v>0</v>
      </c>
      <c r="AD228" s="288">
        <f t="shared" si="83"/>
        <v>0</v>
      </c>
      <c r="AE228" s="288">
        <f t="shared" si="83"/>
        <v>0</v>
      </c>
      <c r="AF228" s="288">
        <f t="shared" si="83"/>
        <v>0</v>
      </c>
      <c r="AG228" s="288">
        <f t="shared" si="83"/>
        <v>0</v>
      </c>
      <c r="AH228" s="288">
        <f t="shared" si="83"/>
        <v>0</v>
      </c>
      <c r="AI228" s="288">
        <f t="shared" si="83"/>
        <v>0</v>
      </c>
      <c r="AJ228" s="288">
        <f t="shared" si="83"/>
        <v>0</v>
      </c>
      <c r="AK228" s="288">
        <f t="shared" si="83"/>
        <v>0</v>
      </c>
      <c r="AL228" s="288">
        <f t="shared" si="83"/>
        <v>0</v>
      </c>
      <c r="AM228" s="288">
        <f t="shared" si="83"/>
        <v>0</v>
      </c>
      <c r="AN228" s="288">
        <f t="shared" si="83"/>
        <v>0</v>
      </c>
      <c r="AO228" s="288">
        <f t="shared" si="83"/>
        <v>0</v>
      </c>
      <c r="AP228" s="288">
        <f t="shared" si="83"/>
        <v>0</v>
      </c>
    </row>
    <row r="229" spans="1:42" x14ac:dyDescent="0.2">
      <c r="A229" s="87"/>
      <c r="B229" s="108"/>
    </row>
    <row r="230" spans="1:42" x14ac:dyDescent="0.2">
      <c r="A230" s="20" t="s">
        <v>302</v>
      </c>
      <c r="B230" s="108"/>
    </row>
    <row r="231" spans="1:42" x14ac:dyDescent="0.2">
      <c r="A231" s="18" t="s">
        <v>303</v>
      </c>
      <c r="B231" s="108"/>
      <c r="C231" s="119">
        <f t="shared" ref="C231:AP231" si="84">C17</f>
        <v>8476300</v>
      </c>
      <c r="D231" s="119">
        <f t="shared" si="84"/>
        <v>8518260</v>
      </c>
      <c r="E231" s="119">
        <f t="shared" si="84"/>
        <v>8560420</v>
      </c>
      <c r="F231" s="119">
        <f t="shared" si="84"/>
        <v>8602800</v>
      </c>
      <c r="G231" s="119">
        <f t="shared" si="84"/>
        <v>8645380</v>
      </c>
      <c r="H231" s="119">
        <f t="shared" si="84"/>
        <v>8688170</v>
      </c>
      <c r="I231" s="119">
        <f t="shared" si="84"/>
        <v>8731180</v>
      </c>
      <c r="J231" s="119">
        <f t="shared" si="84"/>
        <v>8774400</v>
      </c>
      <c r="K231" s="119">
        <f t="shared" si="84"/>
        <v>8817830</v>
      </c>
      <c r="L231" s="119">
        <f t="shared" si="84"/>
        <v>8861480</v>
      </c>
      <c r="M231" s="119">
        <f t="shared" si="84"/>
        <v>8905350</v>
      </c>
      <c r="N231" s="119">
        <f t="shared" si="84"/>
        <v>8949430</v>
      </c>
      <c r="O231" s="119">
        <f t="shared" si="84"/>
        <v>8993730</v>
      </c>
      <c r="P231" s="119">
        <f t="shared" si="84"/>
        <v>9038250</v>
      </c>
      <c r="Q231" s="119">
        <f t="shared" si="84"/>
        <v>9082980</v>
      </c>
      <c r="R231" s="119">
        <f t="shared" si="84"/>
        <v>9127950</v>
      </c>
      <c r="S231" s="119">
        <f t="shared" si="84"/>
        <v>9173130</v>
      </c>
      <c r="T231" s="119">
        <f t="shared" si="84"/>
        <v>9218540</v>
      </c>
      <c r="U231" s="119">
        <f t="shared" si="84"/>
        <v>9264170</v>
      </c>
      <c r="V231" s="119">
        <f t="shared" si="84"/>
        <v>9310030</v>
      </c>
      <c r="W231" s="119">
        <f t="shared" si="84"/>
        <v>9356110</v>
      </c>
      <c r="X231" s="119">
        <f t="shared" si="84"/>
        <v>9402420</v>
      </c>
      <c r="Y231" s="119">
        <f t="shared" si="84"/>
        <v>9448960</v>
      </c>
      <c r="Z231" s="119">
        <f t="shared" si="84"/>
        <v>9495740</v>
      </c>
      <c r="AA231" s="119">
        <f t="shared" si="84"/>
        <v>9542740</v>
      </c>
      <c r="AB231" s="119">
        <f t="shared" si="84"/>
        <v>0</v>
      </c>
      <c r="AC231" s="119">
        <f t="shared" si="84"/>
        <v>0</v>
      </c>
      <c r="AD231" s="119">
        <f t="shared" si="84"/>
        <v>0</v>
      </c>
      <c r="AE231" s="119">
        <f t="shared" si="84"/>
        <v>0</v>
      </c>
      <c r="AF231" s="119">
        <f t="shared" si="84"/>
        <v>0</v>
      </c>
      <c r="AG231" s="119">
        <f t="shared" si="84"/>
        <v>0</v>
      </c>
      <c r="AH231" s="119">
        <f t="shared" si="84"/>
        <v>0</v>
      </c>
      <c r="AI231" s="119">
        <f t="shared" si="84"/>
        <v>0</v>
      </c>
      <c r="AJ231" s="119">
        <f t="shared" si="84"/>
        <v>0</v>
      </c>
      <c r="AK231" s="119">
        <f t="shared" si="84"/>
        <v>0</v>
      </c>
      <c r="AL231" s="119">
        <f t="shared" si="84"/>
        <v>0</v>
      </c>
      <c r="AM231" s="119">
        <f t="shared" si="84"/>
        <v>0</v>
      </c>
      <c r="AN231" s="119">
        <f t="shared" si="84"/>
        <v>0</v>
      </c>
      <c r="AO231" s="119">
        <f t="shared" si="84"/>
        <v>0</v>
      </c>
      <c r="AP231" s="119">
        <f t="shared" si="84"/>
        <v>0</v>
      </c>
    </row>
    <row r="232" spans="1:42" x14ac:dyDescent="0.2">
      <c r="A232" s="18" t="s">
        <v>353</v>
      </c>
      <c r="B232" s="108"/>
      <c r="C232" s="119">
        <f>C774</f>
        <v>25155.890329275975</v>
      </c>
      <c r="D232" s="119">
        <f t="shared" ref="D232:AP232" si="85">D774</f>
        <v>25155.890329275975</v>
      </c>
      <c r="E232" s="119">
        <f t="shared" si="85"/>
        <v>25155.890329275975</v>
      </c>
      <c r="F232" s="119">
        <f t="shared" si="85"/>
        <v>25155.890329275975</v>
      </c>
      <c r="G232" s="119">
        <f t="shared" si="85"/>
        <v>25155.890329275975</v>
      </c>
      <c r="H232" s="119">
        <f t="shared" si="85"/>
        <v>25155.890329275975</v>
      </c>
      <c r="I232" s="119">
        <f t="shared" si="85"/>
        <v>25155.890329275975</v>
      </c>
      <c r="J232" s="119">
        <f t="shared" si="85"/>
        <v>25155.890329275975</v>
      </c>
      <c r="K232" s="119">
        <f t="shared" si="85"/>
        <v>25155.890329275975</v>
      </c>
      <c r="L232" s="119">
        <f t="shared" si="85"/>
        <v>25155.890329275975</v>
      </c>
      <c r="M232" s="119">
        <f t="shared" si="85"/>
        <v>25155.890329275975</v>
      </c>
      <c r="N232" s="119">
        <f t="shared" si="85"/>
        <v>25155.890329275975</v>
      </c>
      <c r="O232" s="119">
        <f t="shared" si="85"/>
        <v>25155.890329275975</v>
      </c>
      <c r="P232" s="119">
        <f t="shared" si="85"/>
        <v>25155.890329275975</v>
      </c>
      <c r="Q232" s="119">
        <f t="shared" si="85"/>
        <v>25155.890329275975</v>
      </c>
      <c r="R232" s="119">
        <f t="shared" si="85"/>
        <v>25155.890329275975</v>
      </c>
      <c r="S232" s="119">
        <f t="shared" si="85"/>
        <v>25155.890329275975</v>
      </c>
      <c r="T232" s="119">
        <f t="shared" si="85"/>
        <v>25155.890329275975</v>
      </c>
      <c r="U232" s="119">
        <f t="shared" si="85"/>
        <v>25155.890329275975</v>
      </c>
      <c r="V232" s="119">
        <f t="shared" si="85"/>
        <v>25155.890329275975</v>
      </c>
      <c r="W232" s="119">
        <f t="shared" si="85"/>
        <v>25155.890329275975</v>
      </c>
      <c r="X232" s="119">
        <f t="shared" si="85"/>
        <v>25155.890329275975</v>
      </c>
      <c r="Y232" s="119">
        <f t="shared" si="85"/>
        <v>25155.890329275975</v>
      </c>
      <c r="Z232" s="119">
        <f t="shared" si="85"/>
        <v>25155.890329275975</v>
      </c>
      <c r="AA232" s="119">
        <f t="shared" si="85"/>
        <v>25155.890329275975</v>
      </c>
      <c r="AB232" s="119">
        <f t="shared" si="85"/>
        <v>0</v>
      </c>
      <c r="AC232" s="119">
        <f t="shared" si="85"/>
        <v>0</v>
      </c>
      <c r="AD232" s="119">
        <f t="shared" si="85"/>
        <v>0</v>
      </c>
      <c r="AE232" s="119">
        <f t="shared" si="85"/>
        <v>0</v>
      </c>
      <c r="AF232" s="119">
        <f t="shared" si="85"/>
        <v>0</v>
      </c>
      <c r="AG232" s="119">
        <f t="shared" si="85"/>
        <v>0</v>
      </c>
      <c r="AH232" s="119">
        <f t="shared" si="85"/>
        <v>0</v>
      </c>
      <c r="AI232" s="119">
        <f t="shared" si="85"/>
        <v>0</v>
      </c>
      <c r="AJ232" s="119">
        <f t="shared" si="85"/>
        <v>0</v>
      </c>
      <c r="AK232" s="119">
        <f t="shared" si="85"/>
        <v>0</v>
      </c>
      <c r="AL232" s="119">
        <f t="shared" si="85"/>
        <v>0</v>
      </c>
      <c r="AM232" s="119">
        <f t="shared" si="85"/>
        <v>0</v>
      </c>
      <c r="AN232" s="119">
        <f t="shared" si="85"/>
        <v>0</v>
      </c>
      <c r="AO232" s="119">
        <f t="shared" si="85"/>
        <v>0</v>
      </c>
      <c r="AP232" s="119">
        <f t="shared" si="85"/>
        <v>0</v>
      </c>
    </row>
    <row r="233" spans="1:42" x14ac:dyDescent="0.2">
      <c r="A233" s="18" t="s">
        <v>357</v>
      </c>
      <c r="B233" s="108"/>
      <c r="C233" s="119">
        <f>C770</f>
        <v>9375</v>
      </c>
      <c r="D233" s="119">
        <f t="shared" ref="D233:AP233" si="86">D770</f>
        <v>21384.156841448046</v>
      </c>
      <c r="E233" s="119">
        <f t="shared" si="86"/>
        <v>33399.173057896092</v>
      </c>
      <c r="F233" s="119">
        <f t="shared" si="86"/>
        <v>45420.195133719149</v>
      </c>
      <c r="G233" s="119">
        <f t="shared" si="86"/>
        <v>57447.373215401567</v>
      </c>
      <c r="H233" s="119">
        <f t="shared" si="86"/>
        <v>69480.861203089837</v>
      </c>
      <c r="I233" s="119">
        <f t="shared" si="86"/>
        <v>81520.816844434157</v>
      </c>
      <c r="J233" s="119">
        <f t="shared" si="86"/>
        <v>93567.401830775852</v>
      </c>
      <c r="K233" s="119">
        <f t="shared" si="86"/>
        <v>105620.78189573988</v>
      </c>
      <c r="L233" s="119">
        <f t="shared" si="86"/>
        <v>117681.12691629183</v>
      </c>
      <c r="M233" s="119">
        <f t="shared" si="86"/>
        <v>129748.61101632135</v>
      </c>
      <c r="N233" s="119">
        <f t="shared" si="86"/>
        <v>141823.41267281541</v>
      </c>
      <c r="O233" s="119">
        <f t="shared" si="86"/>
        <v>153905.71482468562</v>
      </c>
      <c r="P233" s="119">
        <f t="shared" si="86"/>
        <v>165995.7049843164</v>
      </c>
      <c r="Q233" s="119">
        <f t="shared" si="86"/>
        <v>178093.57535190173</v>
      </c>
      <c r="R233" s="119">
        <f t="shared" si="86"/>
        <v>13577.795310919782</v>
      </c>
      <c r="S233" s="119">
        <f t="shared" si="86"/>
        <v>13917.240193692778</v>
      </c>
      <c r="T233" s="119">
        <f t="shared" si="86"/>
        <v>14265.171198535101</v>
      </c>
      <c r="U233" s="119">
        <f t="shared" si="86"/>
        <v>14621.800478498477</v>
      </c>
      <c r="V233" s="119">
        <f t="shared" si="86"/>
        <v>14987.345490460939</v>
      </c>
      <c r="W233" s="119">
        <f t="shared" si="86"/>
        <v>15362.029127722457</v>
      </c>
      <c r="X233" s="119">
        <f t="shared" si="86"/>
        <v>15746.079855915517</v>
      </c>
      <c r="Y233" s="119">
        <f t="shared" si="86"/>
        <v>16139.731852313405</v>
      </c>
      <c r="Z233" s="119">
        <f t="shared" si="86"/>
        <v>16543.225148621244</v>
      </c>
      <c r="AA233" s="119">
        <f t="shared" si="86"/>
        <v>16956.805777336773</v>
      </c>
      <c r="AB233" s="119">
        <f t="shared" si="86"/>
        <v>0</v>
      </c>
      <c r="AC233" s="119">
        <f t="shared" si="86"/>
        <v>0</v>
      </c>
      <c r="AD233" s="119">
        <f t="shared" si="86"/>
        <v>0</v>
      </c>
      <c r="AE233" s="119">
        <f t="shared" si="86"/>
        <v>0</v>
      </c>
      <c r="AF233" s="119">
        <f t="shared" si="86"/>
        <v>0</v>
      </c>
      <c r="AG233" s="119">
        <f t="shared" si="86"/>
        <v>0</v>
      </c>
      <c r="AH233" s="119">
        <f t="shared" si="86"/>
        <v>0</v>
      </c>
      <c r="AI233" s="119">
        <f t="shared" si="86"/>
        <v>0</v>
      </c>
      <c r="AJ233" s="119">
        <f t="shared" si="86"/>
        <v>0</v>
      </c>
      <c r="AK233" s="119">
        <f t="shared" si="86"/>
        <v>0</v>
      </c>
      <c r="AL233" s="119">
        <f t="shared" si="86"/>
        <v>0</v>
      </c>
      <c r="AM233" s="119">
        <f t="shared" si="86"/>
        <v>0</v>
      </c>
      <c r="AN233" s="119">
        <f t="shared" si="86"/>
        <v>0</v>
      </c>
      <c r="AO233" s="119">
        <f t="shared" si="86"/>
        <v>0</v>
      </c>
      <c r="AP233" s="119">
        <f t="shared" si="86"/>
        <v>0</v>
      </c>
    </row>
    <row r="234" spans="1:42" x14ac:dyDescent="0.2">
      <c r="A234" s="18" t="s">
        <v>314</v>
      </c>
      <c r="B234" s="108"/>
      <c r="C234" s="119">
        <f t="shared" ref="C234:AP234" si="87">C57</f>
        <v>2000000</v>
      </c>
      <c r="D234" s="119">
        <f t="shared" si="87"/>
        <v>2040000</v>
      </c>
      <c r="E234" s="119">
        <f t="shared" si="87"/>
        <v>2080800</v>
      </c>
      <c r="F234" s="119">
        <f t="shared" si="87"/>
        <v>2122416</v>
      </c>
      <c r="G234" s="119">
        <f t="shared" si="87"/>
        <v>2164864.3199999998</v>
      </c>
      <c r="H234" s="119">
        <f t="shared" si="87"/>
        <v>2208161.6063999999</v>
      </c>
      <c r="I234" s="119">
        <f t="shared" si="87"/>
        <v>2252324.8385280003</v>
      </c>
      <c r="J234" s="119">
        <f t="shared" si="87"/>
        <v>2297371.3352985596</v>
      </c>
      <c r="K234" s="119">
        <f t="shared" si="87"/>
        <v>2343318.762004531</v>
      </c>
      <c r="L234" s="119">
        <f t="shared" si="87"/>
        <v>2390185.1372446218</v>
      </c>
      <c r="M234" s="119">
        <f t="shared" si="87"/>
        <v>2437988.8399895141</v>
      </c>
      <c r="N234" s="119">
        <f t="shared" si="87"/>
        <v>2486748.6167893042</v>
      </c>
      <c r="O234" s="119">
        <f t="shared" si="87"/>
        <v>2536483.5891250907</v>
      </c>
      <c r="P234" s="119">
        <f t="shared" si="87"/>
        <v>2587213.2609075923</v>
      </c>
      <c r="Q234" s="119">
        <f t="shared" si="87"/>
        <v>2638957.5261257445</v>
      </c>
      <c r="R234" s="119">
        <f t="shared" si="87"/>
        <v>2691736.6766482582</v>
      </c>
      <c r="S234" s="119">
        <f t="shared" si="87"/>
        <v>2745571.4101812239</v>
      </c>
      <c r="T234" s="119">
        <f t="shared" si="87"/>
        <v>2800482.838384849</v>
      </c>
      <c r="U234" s="119">
        <f t="shared" si="87"/>
        <v>2856492.4951525456</v>
      </c>
      <c r="V234" s="119">
        <f t="shared" si="87"/>
        <v>2913622.3450555964</v>
      </c>
      <c r="W234" s="119">
        <f t="shared" si="87"/>
        <v>2971894.7919567083</v>
      </c>
      <c r="X234" s="119">
        <f t="shared" si="87"/>
        <v>3031332.6877958425</v>
      </c>
      <c r="Y234" s="119">
        <f t="shared" si="87"/>
        <v>3091959.3415517593</v>
      </c>
      <c r="Z234" s="119">
        <f t="shared" si="87"/>
        <v>3153798.528382794</v>
      </c>
      <c r="AA234" s="119">
        <f t="shared" si="87"/>
        <v>3216874.4989504502</v>
      </c>
      <c r="AB234" s="119">
        <f t="shared" si="87"/>
        <v>0</v>
      </c>
      <c r="AC234" s="119">
        <f t="shared" si="87"/>
        <v>0</v>
      </c>
      <c r="AD234" s="119">
        <f t="shared" si="87"/>
        <v>0</v>
      </c>
      <c r="AE234" s="119">
        <f t="shared" si="87"/>
        <v>0</v>
      </c>
      <c r="AF234" s="119">
        <f t="shared" si="87"/>
        <v>0</v>
      </c>
      <c r="AG234" s="119">
        <f t="shared" si="87"/>
        <v>0</v>
      </c>
      <c r="AH234" s="119">
        <f t="shared" si="87"/>
        <v>0</v>
      </c>
      <c r="AI234" s="119">
        <f t="shared" si="87"/>
        <v>0</v>
      </c>
      <c r="AJ234" s="119">
        <f t="shared" si="87"/>
        <v>0</v>
      </c>
      <c r="AK234" s="119">
        <f t="shared" si="87"/>
        <v>0</v>
      </c>
      <c r="AL234" s="119">
        <f t="shared" si="87"/>
        <v>0</v>
      </c>
      <c r="AM234" s="119">
        <f t="shared" si="87"/>
        <v>0</v>
      </c>
      <c r="AN234" s="119">
        <f t="shared" si="87"/>
        <v>0</v>
      </c>
      <c r="AO234" s="119">
        <f t="shared" si="87"/>
        <v>0</v>
      </c>
      <c r="AP234" s="119">
        <f t="shared" si="87"/>
        <v>0</v>
      </c>
    </row>
    <row r="235" spans="1:42" x14ac:dyDescent="0.2">
      <c r="A235" s="18" t="s">
        <v>358</v>
      </c>
      <c r="B235" s="108"/>
      <c r="C235" s="119">
        <f t="shared" ref="C235:AP235" si="88">-C59</f>
        <v>-3500000</v>
      </c>
      <c r="D235" s="119">
        <f t="shared" si="88"/>
        <v>-3577500</v>
      </c>
      <c r="E235" s="119">
        <f t="shared" si="88"/>
        <v>-3656737.5</v>
      </c>
      <c r="F235" s="119">
        <f t="shared" si="88"/>
        <v>-3737751.9375</v>
      </c>
      <c r="G235" s="119">
        <f t="shared" si="88"/>
        <v>-3820583.6559374994</v>
      </c>
      <c r="H235" s="119">
        <f t="shared" si="88"/>
        <v>-3905273.9257359365</v>
      </c>
      <c r="I235" s="119">
        <f t="shared" si="88"/>
        <v>-3991864.9658473358</v>
      </c>
      <c r="J235" s="119">
        <f t="shared" si="88"/>
        <v>-4080399.9658008786</v>
      </c>
      <c r="K235" s="119">
        <f t="shared" si="88"/>
        <v>-4170923.1082694074</v>
      </c>
      <c r="L235" s="119">
        <f t="shared" si="88"/>
        <v>-4263479.5921661202</v>
      </c>
      <c r="M235" s="119">
        <f t="shared" si="88"/>
        <v>-4358115.6562840501</v>
      </c>
      <c r="N235" s="119">
        <f t="shared" si="88"/>
        <v>-4454878.6034912029</v>
      </c>
      <c r="O235" s="119">
        <f t="shared" si="88"/>
        <v>-4553816.8254945371</v>
      </c>
      <c r="P235" s="119">
        <f t="shared" si="88"/>
        <v>-4654979.8281862745</v>
      </c>
      <c r="Q235" s="119">
        <f t="shared" si="88"/>
        <v>-4758418.2575863935</v>
      </c>
      <c r="R235" s="119">
        <f t="shared" si="88"/>
        <v>-4864183.9263954237</v>
      </c>
      <c r="S235" s="119">
        <f t="shared" si="88"/>
        <v>-4972329.8411720684</v>
      </c>
      <c r="T235" s="119">
        <f t="shared" si="88"/>
        <v>-5082910.2301504649</v>
      </c>
      <c r="U235" s="119">
        <f t="shared" si="88"/>
        <v>-5195980.571712302</v>
      </c>
      <c r="V235" s="119">
        <f t="shared" si="88"/>
        <v>-5311597.6235293467</v>
      </c>
      <c r="W235" s="119">
        <f t="shared" si="88"/>
        <v>-5429819.4523923015</v>
      </c>
      <c r="X235" s="119">
        <f t="shared" si="88"/>
        <v>-5550705.4647423252</v>
      </c>
      <c r="Y235" s="119">
        <f t="shared" si="88"/>
        <v>-5674316.437921904</v>
      </c>
      <c r="Z235" s="119">
        <f t="shared" si="88"/>
        <v>-5800714.5521621928</v>
      </c>
      <c r="AA235" s="119">
        <f t="shared" si="88"/>
        <v>-5929963.4233243335</v>
      </c>
      <c r="AB235" s="119">
        <f t="shared" si="88"/>
        <v>0</v>
      </c>
      <c r="AC235" s="119">
        <f t="shared" si="88"/>
        <v>0</v>
      </c>
      <c r="AD235" s="119">
        <f t="shared" si="88"/>
        <v>0</v>
      </c>
      <c r="AE235" s="119">
        <f t="shared" si="88"/>
        <v>0</v>
      </c>
      <c r="AF235" s="119">
        <f t="shared" si="88"/>
        <v>0</v>
      </c>
      <c r="AG235" s="119">
        <f t="shared" si="88"/>
        <v>0</v>
      </c>
      <c r="AH235" s="119">
        <f t="shared" si="88"/>
        <v>0</v>
      </c>
      <c r="AI235" s="119">
        <f t="shared" si="88"/>
        <v>0</v>
      </c>
      <c r="AJ235" s="119">
        <f t="shared" si="88"/>
        <v>0</v>
      </c>
      <c r="AK235" s="119">
        <f t="shared" si="88"/>
        <v>0</v>
      </c>
      <c r="AL235" s="119">
        <f t="shared" si="88"/>
        <v>0</v>
      </c>
      <c r="AM235" s="119">
        <f t="shared" si="88"/>
        <v>0</v>
      </c>
      <c r="AN235" s="119">
        <f t="shared" si="88"/>
        <v>0</v>
      </c>
      <c r="AO235" s="119">
        <f t="shared" si="88"/>
        <v>0</v>
      </c>
      <c r="AP235" s="119">
        <f t="shared" si="88"/>
        <v>0</v>
      </c>
    </row>
    <row r="236" spans="1:42" x14ac:dyDescent="0.2">
      <c r="A236" s="18" t="s">
        <v>304</v>
      </c>
      <c r="B236" s="108"/>
      <c r="C236" s="119">
        <f t="shared" ref="C236:AP236" si="89">-C118</f>
        <v>-4024942.4526841561</v>
      </c>
      <c r="D236" s="119">
        <f t="shared" si="89"/>
        <v>-4000942.8595256046</v>
      </c>
      <c r="E236" s="119">
        <f t="shared" si="89"/>
        <v>-3975399.9069920522</v>
      </c>
      <c r="F236" s="119">
        <f t="shared" si="89"/>
        <v>-3948294.0110991257</v>
      </c>
      <c r="G236" s="119">
        <f t="shared" si="89"/>
        <v>-3919564.6782628396</v>
      </c>
      <c r="H236" s="119">
        <f t="shared" si="89"/>
        <v>-3889180.4841596102</v>
      </c>
      <c r="I236" s="119">
        <f t="shared" si="89"/>
        <v>-3857109.0520897629</v>
      </c>
      <c r="J236" s="119">
        <f t="shared" si="89"/>
        <v>-3823297.0308327745</v>
      </c>
      <c r="K236" s="119">
        <f t="shared" si="89"/>
        <v>-3787700.0719821774</v>
      </c>
      <c r="L236" s="119">
        <f t="shared" si="89"/>
        <v>-3750282.8067478091</v>
      </c>
      <c r="M236" s="119">
        <f t="shared" si="89"/>
        <v>-3710998.8222127454</v>
      </c>
      <c r="N236" s="119">
        <f t="shared" si="89"/>
        <v>-3669790.6370319952</v>
      </c>
      <c r="O236" s="119">
        <f t="shared" si="89"/>
        <v>-3626619.6765596867</v>
      </c>
      <c r="P236" s="119">
        <f t="shared" si="89"/>
        <v>-3581436.2473912146</v>
      </c>
      <c r="Q236" s="119">
        <f t="shared" si="89"/>
        <v>-3534179.5113064069</v>
      </c>
      <c r="R236" s="119">
        <f t="shared" si="89"/>
        <v>-4250188.2782936571</v>
      </c>
      <c r="S236" s="119">
        <f t="shared" si="89"/>
        <v>-4186882.9186342387</v>
      </c>
      <c r="T236" s="119">
        <f t="shared" si="89"/>
        <v>-4121364.5986510003</v>
      </c>
      <c r="U236" s="119">
        <f t="shared" si="89"/>
        <v>-4053567.6278091995</v>
      </c>
      <c r="V236" s="119">
        <f t="shared" si="89"/>
        <v>-3983445.0309801926</v>
      </c>
      <c r="W236" s="119">
        <f t="shared" si="89"/>
        <v>-3910928.5184799763</v>
      </c>
      <c r="X236" s="119">
        <f t="shared" si="89"/>
        <v>-3835968.4554017596</v>
      </c>
      <c r="Y236" s="119">
        <f t="shared" si="89"/>
        <v>-3758503.8302257825</v>
      </c>
      <c r="Z236" s="119">
        <f t="shared" si="89"/>
        <v>-3678482.2226891862</v>
      </c>
      <c r="AA236" s="119">
        <f t="shared" si="89"/>
        <v>-3629733.3824530034</v>
      </c>
      <c r="AB236" s="119">
        <f t="shared" si="89"/>
        <v>0</v>
      </c>
      <c r="AC236" s="119">
        <f t="shared" si="89"/>
        <v>0</v>
      </c>
      <c r="AD236" s="119">
        <f t="shared" si="89"/>
        <v>0</v>
      </c>
      <c r="AE236" s="119">
        <f t="shared" si="89"/>
        <v>0</v>
      </c>
      <c r="AF236" s="119">
        <f t="shared" si="89"/>
        <v>0</v>
      </c>
      <c r="AG236" s="119">
        <f t="shared" si="89"/>
        <v>0</v>
      </c>
      <c r="AH236" s="119">
        <f t="shared" si="89"/>
        <v>0</v>
      </c>
      <c r="AI236" s="119">
        <f t="shared" si="89"/>
        <v>0</v>
      </c>
      <c r="AJ236" s="119">
        <f t="shared" si="89"/>
        <v>0</v>
      </c>
      <c r="AK236" s="119">
        <f t="shared" si="89"/>
        <v>0</v>
      </c>
      <c r="AL236" s="119">
        <f t="shared" si="89"/>
        <v>0</v>
      </c>
      <c r="AM236" s="119">
        <f t="shared" si="89"/>
        <v>0</v>
      </c>
      <c r="AN236" s="119">
        <f t="shared" si="89"/>
        <v>0</v>
      </c>
      <c r="AO236" s="119">
        <f t="shared" si="89"/>
        <v>0</v>
      </c>
      <c r="AP236" s="119">
        <f t="shared" si="89"/>
        <v>0</v>
      </c>
    </row>
    <row r="237" spans="1:42" x14ac:dyDescent="0.2">
      <c r="A237" s="18" t="s">
        <v>306</v>
      </c>
      <c r="B237" s="108"/>
      <c r="C237" s="120">
        <f t="shared" ref="C237:AP237" si="90">C228</f>
        <v>-209012.19063515833</v>
      </c>
      <c r="D237" s="120">
        <f t="shared" si="90"/>
        <v>-211845.00313515827</v>
      </c>
      <c r="E237" s="120">
        <f t="shared" si="90"/>
        <v>-214734.63594765842</v>
      </c>
      <c r="F237" s="120">
        <f t="shared" si="90"/>
        <v>-217682.22958047086</v>
      </c>
      <c r="G237" s="120">
        <f t="shared" si="90"/>
        <v>-220688.94745410368</v>
      </c>
      <c r="H237" s="120">
        <f t="shared" si="90"/>
        <v>-223755.97636257723</v>
      </c>
      <c r="I237" s="120">
        <f t="shared" si="90"/>
        <v>-226884.52694352268</v>
      </c>
      <c r="J237" s="120">
        <f t="shared" si="90"/>
        <v>-230075.83415774695</v>
      </c>
      <c r="K237" s="120">
        <f t="shared" si="90"/>
        <v>-233331.15777845721</v>
      </c>
      <c r="L237" s="120">
        <f t="shared" si="90"/>
        <v>-236651.78289033807</v>
      </c>
      <c r="M237" s="120">
        <f t="shared" si="90"/>
        <v>-240039.02039868207</v>
      </c>
      <c r="N237" s="120">
        <f t="shared" si="90"/>
        <v>-243494.20754877376</v>
      </c>
      <c r="O237" s="120">
        <f t="shared" si="90"/>
        <v>-247018.70845573797</v>
      </c>
      <c r="P237" s="120">
        <f t="shared" si="90"/>
        <v>-250613.91464505866</v>
      </c>
      <c r="Q237" s="120">
        <f t="shared" si="90"/>
        <v>-254281.24560398838</v>
      </c>
      <c r="R237" s="120">
        <f t="shared" si="90"/>
        <v>-192083.37103195605</v>
      </c>
      <c r="S237" s="120">
        <f t="shared" si="90"/>
        <v>-195899.32466285198</v>
      </c>
      <c r="T237" s="120">
        <f t="shared" si="90"/>
        <v>-199791.83497778355</v>
      </c>
      <c r="U237" s="120">
        <f t="shared" si="90"/>
        <v>-203762.43905071737</v>
      </c>
      <c r="V237" s="120">
        <f t="shared" si="90"/>
        <v>-207812.70484560559</v>
      </c>
      <c r="W237" s="120">
        <f t="shared" si="90"/>
        <v>-211944.23183789995</v>
      </c>
      <c r="X237" s="120">
        <f t="shared" si="90"/>
        <v>-216158.65164858632</v>
      </c>
      <c r="Y237" s="120">
        <f t="shared" si="90"/>
        <v>-220457.62869099638</v>
      </c>
      <c r="Z237" s="120">
        <f t="shared" si="90"/>
        <v>-224842.86083065177</v>
      </c>
      <c r="AA237" s="120">
        <f t="shared" si="90"/>
        <v>-226942.12724958078</v>
      </c>
      <c r="AB237" s="120">
        <f t="shared" si="90"/>
        <v>0</v>
      </c>
      <c r="AC237" s="120">
        <f t="shared" si="90"/>
        <v>0</v>
      </c>
      <c r="AD237" s="120">
        <f t="shared" si="90"/>
        <v>0</v>
      </c>
      <c r="AE237" s="120">
        <f t="shared" si="90"/>
        <v>0</v>
      </c>
      <c r="AF237" s="120">
        <f t="shared" si="90"/>
        <v>0</v>
      </c>
      <c r="AG237" s="120">
        <f t="shared" si="90"/>
        <v>0</v>
      </c>
      <c r="AH237" s="120">
        <f t="shared" si="90"/>
        <v>0</v>
      </c>
      <c r="AI237" s="120">
        <f t="shared" si="90"/>
        <v>0</v>
      </c>
      <c r="AJ237" s="120">
        <f t="shared" si="90"/>
        <v>0</v>
      </c>
      <c r="AK237" s="120">
        <f t="shared" si="90"/>
        <v>0</v>
      </c>
      <c r="AL237" s="120">
        <f t="shared" si="90"/>
        <v>0</v>
      </c>
      <c r="AM237" s="120">
        <f t="shared" si="90"/>
        <v>0</v>
      </c>
      <c r="AN237" s="120">
        <f t="shared" si="90"/>
        <v>0</v>
      </c>
      <c r="AO237" s="120">
        <f t="shared" si="90"/>
        <v>0</v>
      </c>
      <c r="AP237" s="120">
        <f t="shared" si="90"/>
        <v>0</v>
      </c>
    </row>
    <row r="238" spans="1:42" x14ac:dyDescent="0.2">
      <c r="A238" s="18" t="s">
        <v>288</v>
      </c>
      <c r="B238" s="108"/>
      <c r="C238" s="119">
        <f>SUM(C231:C237)</f>
        <v>2776876.2470099609</v>
      </c>
      <c r="D238" s="119">
        <f t="shared" ref="D238:AP238" si="91">SUM(D231:D237)</f>
        <v>2814512.18450996</v>
      </c>
      <c r="E238" s="119">
        <f t="shared" si="91"/>
        <v>2852903.0204474619</v>
      </c>
      <c r="F238" s="119">
        <f t="shared" si="91"/>
        <v>2892063.9072833983</v>
      </c>
      <c r="G238" s="119">
        <f t="shared" si="91"/>
        <v>2932010.3018902345</v>
      </c>
      <c r="H238" s="119">
        <f t="shared" si="91"/>
        <v>2972757.9716742407</v>
      </c>
      <c r="I238" s="119">
        <f t="shared" si="91"/>
        <v>3014323.0008210875</v>
      </c>
      <c r="J238" s="119">
        <f t="shared" si="91"/>
        <v>3056721.7966672098</v>
      </c>
      <c r="K238" s="119">
        <f t="shared" si="91"/>
        <v>3099971.0961995032</v>
      </c>
      <c r="L238" s="119">
        <f t="shared" si="91"/>
        <v>3144087.9726859205</v>
      </c>
      <c r="M238" s="119">
        <f t="shared" si="91"/>
        <v>3189089.8424396329</v>
      </c>
      <c r="N238" s="119">
        <f t="shared" si="91"/>
        <v>3234994.4717194228</v>
      </c>
      <c r="O238" s="119">
        <f t="shared" si="91"/>
        <v>3281819.9837690904</v>
      </c>
      <c r="P238" s="119">
        <f t="shared" si="91"/>
        <v>3329584.8659986365</v>
      </c>
      <c r="Q238" s="119">
        <f t="shared" si="91"/>
        <v>3378307.9773101318</v>
      </c>
      <c r="R238" s="119">
        <f t="shared" si="91"/>
        <v>2551964.786567416</v>
      </c>
      <c r="S238" s="119">
        <f t="shared" si="91"/>
        <v>2602662.4562350335</v>
      </c>
      <c r="T238" s="119">
        <f t="shared" si="91"/>
        <v>2654377.2361334101</v>
      </c>
      <c r="U238" s="119">
        <f t="shared" si="91"/>
        <v>2707129.5473881019</v>
      </c>
      <c r="V238" s="119">
        <f t="shared" si="91"/>
        <v>2760940.2215201887</v>
      </c>
      <c r="W238" s="119">
        <f t="shared" si="91"/>
        <v>2815830.508703528</v>
      </c>
      <c r="X238" s="119">
        <f t="shared" si="91"/>
        <v>2871822.0861883615</v>
      </c>
      <c r="Y238" s="119">
        <f t="shared" si="91"/>
        <v>2928937.0668946663</v>
      </c>
      <c r="Z238" s="119">
        <f t="shared" si="91"/>
        <v>2987198.0081786597</v>
      </c>
      <c r="AA238" s="119">
        <f t="shared" si="91"/>
        <v>3015088.2620301447</v>
      </c>
      <c r="AB238" s="119">
        <f t="shared" si="91"/>
        <v>0</v>
      </c>
      <c r="AC238" s="119">
        <f t="shared" si="91"/>
        <v>0</v>
      </c>
      <c r="AD238" s="119">
        <f t="shared" si="91"/>
        <v>0</v>
      </c>
      <c r="AE238" s="119">
        <f t="shared" si="91"/>
        <v>0</v>
      </c>
      <c r="AF238" s="119">
        <f t="shared" si="91"/>
        <v>0</v>
      </c>
      <c r="AG238" s="119">
        <f t="shared" si="91"/>
        <v>0</v>
      </c>
      <c r="AH238" s="119">
        <f t="shared" si="91"/>
        <v>0</v>
      </c>
      <c r="AI238" s="119">
        <f t="shared" si="91"/>
        <v>0</v>
      </c>
      <c r="AJ238" s="119">
        <f t="shared" si="91"/>
        <v>0</v>
      </c>
      <c r="AK238" s="119">
        <f t="shared" si="91"/>
        <v>0</v>
      </c>
      <c r="AL238" s="119">
        <f t="shared" si="91"/>
        <v>0</v>
      </c>
      <c r="AM238" s="119">
        <f t="shared" si="91"/>
        <v>0</v>
      </c>
      <c r="AN238" s="119">
        <f t="shared" si="91"/>
        <v>0</v>
      </c>
      <c r="AO238" s="119">
        <f t="shared" si="91"/>
        <v>0</v>
      </c>
      <c r="AP238" s="119">
        <f t="shared" si="91"/>
        <v>0</v>
      </c>
    </row>
    <row r="239" spans="1:42" x14ac:dyDescent="0.2">
      <c r="A239" s="18" t="s">
        <v>429</v>
      </c>
      <c r="B239" s="108"/>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c r="AC239" s="119"/>
      <c r="AD239" s="119"/>
      <c r="AE239" s="119"/>
      <c r="AF239" s="119"/>
      <c r="AG239" s="119"/>
      <c r="AH239" s="119"/>
      <c r="AI239" s="119"/>
      <c r="AJ239" s="119"/>
      <c r="AK239" s="119"/>
      <c r="AL239" s="119"/>
      <c r="AM239" s="119"/>
      <c r="AN239" s="119"/>
      <c r="AO239" s="119"/>
      <c r="AP239" s="119"/>
    </row>
    <row r="240" spans="1:42" x14ac:dyDescent="0.2">
      <c r="A240" s="87" t="s">
        <v>4</v>
      </c>
      <c r="B240" s="108"/>
      <c r="C240" s="119">
        <f t="shared" ref="C240:AP240" si="92">IF(pbi_fed_tax_fed="No",-C638,0)</f>
        <v>0</v>
      </c>
      <c r="D240" s="119">
        <f t="shared" si="92"/>
        <v>0</v>
      </c>
      <c r="E240" s="119">
        <f t="shared" si="92"/>
        <v>0</v>
      </c>
      <c r="F240" s="119">
        <f t="shared" si="92"/>
        <v>0</v>
      </c>
      <c r="G240" s="119">
        <f t="shared" si="92"/>
        <v>0</v>
      </c>
      <c r="H240" s="119">
        <f t="shared" si="92"/>
        <v>0</v>
      </c>
      <c r="I240" s="119">
        <f t="shared" si="92"/>
        <v>0</v>
      </c>
      <c r="J240" s="119">
        <f t="shared" si="92"/>
        <v>0</v>
      </c>
      <c r="K240" s="119">
        <f t="shared" si="92"/>
        <v>0</v>
      </c>
      <c r="L240" s="119">
        <f t="shared" si="92"/>
        <v>0</v>
      </c>
      <c r="M240" s="119">
        <f t="shared" si="92"/>
        <v>0</v>
      </c>
      <c r="N240" s="119">
        <f t="shared" si="92"/>
        <v>0</v>
      </c>
      <c r="O240" s="119">
        <f t="shared" si="92"/>
        <v>0</v>
      </c>
      <c r="P240" s="119">
        <f t="shared" si="92"/>
        <v>0</v>
      </c>
      <c r="Q240" s="119">
        <f t="shared" si="92"/>
        <v>0</v>
      </c>
      <c r="R240" s="119">
        <f t="shared" si="92"/>
        <v>0</v>
      </c>
      <c r="S240" s="119">
        <f t="shared" si="92"/>
        <v>0</v>
      </c>
      <c r="T240" s="119">
        <f t="shared" si="92"/>
        <v>0</v>
      </c>
      <c r="U240" s="119">
        <f t="shared" si="92"/>
        <v>0</v>
      </c>
      <c r="V240" s="119">
        <f t="shared" si="92"/>
        <v>0</v>
      </c>
      <c r="W240" s="119">
        <f t="shared" si="92"/>
        <v>0</v>
      </c>
      <c r="X240" s="119">
        <f t="shared" si="92"/>
        <v>0</v>
      </c>
      <c r="Y240" s="119">
        <f t="shared" si="92"/>
        <v>0</v>
      </c>
      <c r="Z240" s="119">
        <f t="shared" si="92"/>
        <v>0</v>
      </c>
      <c r="AA240" s="119">
        <f t="shared" si="92"/>
        <v>0</v>
      </c>
      <c r="AB240" s="119">
        <f t="shared" si="92"/>
        <v>0</v>
      </c>
      <c r="AC240" s="119">
        <f t="shared" si="92"/>
        <v>0</v>
      </c>
      <c r="AD240" s="119">
        <f t="shared" si="92"/>
        <v>0</v>
      </c>
      <c r="AE240" s="119">
        <f t="shared" si="92"/>
        <v>0</v>
      </c>
      <c r="AF240" s="119">
        <f t="shared" si="92"/>
        <v>0</v>
      </c>
      <c r="AG240" s="119">
        <f t="shared" si="92"/>
        <v>0</v>
      </c>
      <c r="AH240" s="119">
        <f t="shared" si="92"/>
        <v>0</v>
      </c>
      <c r="AI240" s="119">
        <f t="shared" si="92"/>
        <v>0</v>
      </c>
      <c r="AJ240" s="119">
        <f t="shared" si="92"/>
        <v>0</v>
      </c>
      <c r="AK240" s="119">
        <f t="shared" si="92"/>
        <v>0</v>
      </c>
      <c r="AL240" s="119">
        <f t="shared" si="92"/>
        <v>0</v>
      </c>
      <c r="AM240" s="119">
        <f t="shared" si="92"/>
        <v>0</v>
      </c>
      <c r="AN240" s="119">
        <f t="shared" si="92"/>
        <v>0</v>
      </c>
      <c r="AO240" s="119">
        <f t="shared" si="92"/>
        <v>0</v>
      </c>
      <c r="AP240" s="119">
        <f t="shared" si="92"/>
        <v>0</v>
      </c>
    </row>
    <row r="241" spans="1:42" x14ac:dyDescent="0.2">
      <c r="A241" s="87" t="s">
        <v>5</v>
      </c>
      <c r="B241" s="108"/>
      <c r="C241" s="119">
        <f t="shared" ref="C241:AP241" si="93">IF(pbi_sta_tax_fed="No",-C642,0)</f>
        <v>0</v>
      </c>
      <c r="D241" s="119">
        <f t="shared" si="93"/>
        <v>0</v>
      </c>
      <c r="E241" s="119">
        <f t="shared" si="93"/>
        <v>0</v>
      </c>
      <c r="F241" s="119">
        <f t="shared" si="93"/>
        <v>0</v>
      </c>
      <c r="G241" s="119">
        <f t="shared" si="93"/>
        <v>0</v>
      </c>
      <c r="H241" s="119">
        <f t="shared" si="93"/>
        <v>0</v>
      </c>
      <c r="I241" s="119">
        <f t="shared" si="93"/>
        <v>0</v>
      </c>
      <c r="J241" s="119">
        <f t="shared" si="93"/>
        <v>0</v>
      </c>
      <c r="K241" s="119">
        <f t="shared" si="93"/>
        <v>0</v>
      </c>
      <c r="L241" s="119">
        <f t="shared" si="93"/>
        <v>0</v>
      </c>
      <c r="M241" s="119">
        <f t="shared" si="93"/>
        <v>0</v>
      </c>
      <c r="N241" s="119">
        <f t="shared" si="93"/>
        <v>0</v>
      </c>
      <c r="O241" s="119">
        <f t="shared" si="93"/>
        <v>0</v>
      </c>
      <c r="P241" s="119">
        <f t="shared" si="93"/>
        <v>0</v>
      </c>
      <c r="Q241" s="119">
        <f t="shared" si="93"/>
        <v>0</v>
      </c>
      <c r="R241" s="119">
        <f t="shared" si="93"/>
        <v>0</v>
      </c>
      <c r="S241" s="119">
        <f t="shared" si="93"/>
        <v>0</v>
      </c>
      <c r="T241" s="119">
        <f t="shared" si="93"/>
        <v>0</v>
      </c>
      <c r="U241" s="119">
        <f t="shared" si="93"/>
        <v>0</v>
      </c>
      <c r="V241" s="119">
        <f t="shared" si="93"/>
        <v>0</v>
      </c>
      <c r="W241" s="119">
        <f t="shared" si="93"/>
        <v>0</v>
      </c>
      <c r="X241" s="119">
        <f t="shared" si="93"/>
        <v>0</v>
      </c>
      <c r="Y241" s="119">
        <f t="shared" si="93"/>
        <v>0</v>
      </c>
      <c r="Z241" s="119">
        <f t="shared" si="93"/>
        <v>0</v>
      </c>
      <c r="AA241" s="119">
        <f t="shared" si="93"/>
        <v>0</v>
      </c>
      <c r="AB241" s="119">
        <f t="shared" si="93"/>
        <v>0</v>
      </c>
      <c r="AC241" s="119">
        <f t="shared" si="93"/>
        <v>0</v>
      </c>
      <c r="AD241" s="119">
        <f t="shared" si="93"/>
        <v>0</v>
      </c>
      <c r="AE241" s="119">
        <f t="shared" si="93"/>
        <v>0</v>
      </c>
      <c r="AF241" s="119">
        <f t="shared" si="93"/>
        <v>0</v>
      </c>
      <c r="AG241" s="119">
        <f t="shared" si="93"/>
        <v>0</v>
      </c>
      <c r="AH241" s="119">
        <f t="shared" si="93"/>
        <v>0</v>
      </c>
      <c r="AI241" s="119">
        <f t="shared" si="93"/>
        <v>0</v>
      </c>
      <c r="AJ241" s="119">
        <f t="shared" si="93"/>
        <v>0</v>
      </c>
      <c r="AK241" s="119">
        <f t="shared" si="93"/>
        <v>0</v>
      </c>
      <c r="AL241" s="119">
        <f t="shared" si="93"/>
        <v>0</v>
      </c>
      <c r="AM241" s="119">
        <f t="shared" si="93"/>
        <v>0</v>
      </c>
      <c r="AN241" s="119">
        <f t="shared" si="93"/>
        <v>0</v>
      </c>
      <c r="AO241" s="119">
        <f t="shared" si="93"/>
        <v>0</v>
      </c>
      <c r="AP241" s="119">
        <f t="shared" si="93"/>
        <v>0</v>
      </c>
    </row>
    <row r="242" spans="1:42" x14ac:dyDescent="0.2">
      <c r="A242" s="87" t="s">
        <v>162</v>
      </c>
      <c r="B242" s="108"/>
      <c r="C242" s="119">
        <f t="shared" ref="C242:AP242" si="94">IF(pbi_uti_tax_fed="No",-C646,0)</f>
        <v>0</v>
      </c>
      <c r="D242" s="119">
        <f t="shared" si="94"/>
        <v>0</v>
      </c>
      <c r="E242" s="119">
        <f t="shared" si="94"/>
        <v>0</v>
      </c>
      <c r="F242" s="119">
        <f t="shared" si="94"/>
        <v>0</v>
      </c>
      <c r="G242" s="119">
        <f t="shared" si="94"/>
        <v>0</v>
      </c>
      <c r="H242" s="119">
        <f t="shared" si="94"/>
        <v>0</v>
      </c>
      <c r="I242" s="119">
        <f t="shared" si="94"/>
        <v>0</v>
      </c>
      <c r="J242" s="119">
        <f t="shared" si="94"/>
        <v>0</v>
      </c>
      <c r="K242" s="119">
        <f t="shared" si="94"/>
        <v>0</v>
      </c>
      <c r="L242" s="119">
        <f t="shared" si="94"/>
        <v>0</v>
      </c>
      <c r="M242" s="119">
        <f t="shared" si="94"/>
        <v>0</v>
      </c>
      <c r="N242" s="119">
        <f t="shared" si="94"/>
        <v>0</v>
      </c>
      <c r="O242" s="119">
        <f t="shared" si="94"/>
        <v>0</v>
      </c>
      <c r="P242" s="119">
        <f t="shared" si="94"/>
        <v>0</v>
      </c>
      <c r="Q242" s="119">
        <f t="shared" si="94"/>
        <v>0</v>
      </c>
      <c r="R242" s="119">
        <f t="shared" si="94"/>
        <v>0</v>
      </c>
      <c r="S242" s="119">
        <f t="shared" si="94"/>
        <v>0</v>
      </c>
      <c r="T242" s="119">
        <f t="shared" si="94"/>
        <v>0</v>
      </c>
      <c r="U242" s="119">
        <f t="shared" si="94"/>
        <v>0</v>
      </c>
      <c r="V242" s="119">
        <f t="shared" si="94"/>
        <v>0</v>
      </c>
      <c r="W242" s="119">
        <f t="shared" si="94"/>
        <v>0</v>
      </c>
      <c r="X242" s="119">
        <f t="shared" si="94"/>
        <v>0</v>
      </c>
      <c r="Y242" s="119">
        <f t="shared" si="94"/>
        <v>0</v>
      </c>
      <c r="Z242" s="119">
        <f t="shared" si="94"/>
        <v>0</v>
      </c>
      <c r="AA242" s="119">
        <f t="shared" si="94"/>
        <v>0</v>
      </c>
      <c r="AB242" s="119">
        <f t="shared" si="94"/>
        <v>0</v>
      </c>
      <c r="AC242" s="119">
        <f t="shared" si="94"/>
        <v>0</v>
      </c>
      <c r="AD242" s="119">
        <f t="shared" si="94"/>
        <v>0</v>
      </c>
      <c r="AE242" s="119">
        <f t="shared" si="94"/>
        <v>0</v>
      </c>
      <c r="AF242" s="119">
        <f t="shared" si="94"/>
        <v>0</v>
      </c>
      <c r="AG242" s="119">
        <f t="shared" si="94"/>
        <v>0</v>
      </c>
      <c r="AH242" s="119">
        <f t="shared" si="94"/>
        <v>0</v>
      </c>
      <c r="AI242" s="119">
        <f t="shared" si="94"/>
        <v>0</v>
      </c>
      <c r="AJ242" s="119">
        <f t="shared" si="94"/>
        <v>0</v>
      </c>
      <c r="AK242" s="119">
        <f t="shared" si="94"/>
        <v>0</v>
      </c>
      <c r="AL242" s="119">
        <f t="shared" si="94"/>
        <v>0</v>
      </c>
      <c r="AM242" s="119">
        <f t="shared" si="94"/>
        <v>0</v>
      </c>
      <c r="AN242" s="119">
        <f t="shared" si="94"/>
        <v>0</v>
      </c>
      <c r="AO242" s="119">
        <f t="shared" si="94"/>
        <v>0</v>
      </c>
      <c r="AP242" s="119">
        <f t="shared" si="94"/>
        <v>0</v>
      </c>
    </row>
    <row r="243" spans="1:42" x14ac:dyDescent="0.2">
      <c r="A243" s="87" t="s">
        <v>163</v>
      </c>
      <c r="B243" s="108"/>
      <c r="C243" s="120">
        <f t="shared" ref="C243:AP243" si="95">IF(pbi_oth_tax_fed="No",-C5828,0)</f>
        <v>0</v>
      </c>
      <c r="D243" s="120">
        <f t="shared" si="95"/>
        <v>0</v>
      </c>
      <c r="E243" s="120">
        <f t="shared" si="95"/>
        <v>0</v>
      </c>
      <c r="F243" s="120">
        <f t="shared" si="95"/>
        <v>0</v>
      </c>
      <c r="G243" s="120">
        <f t="shared" si="95"/>
        <v>0</v>
      </c>
      <c r="H243" s="120">
        <f t="shared" si="95"/>
        <v>0</v>
      </c>
      <c r="I243" s="120">
        <f t="shared" si="95"/>
        <v>0</v>
      </c>
      <c r="J243" s="120">
        <f t="shared" si="95"/>
        <v>0</v>
      </c>
      <c r="K243" s="120">
        <f t="shared" si="95"/>
        <v>0</v>
      </c>
      <c r="L243" s="120">
        <f t="shared" si="95"/>
        <v>0</v>
      </c>
      <c r="M243" s="120">
        <f t="shared" si="95"/>
        <v>0</v>
      </c>
      <c r="N243" s="120">
        <f t="shared" si="95"/>
        <v>0</v>
      </c>
      <c r="O243" s="120">
        <f t="shared" si="95"/>
        <v>0</v>
      </c>
      <c r="P243" s="120">
        <f t="shared" si="95"/>
        <v>0</v>
      </c>
      <c r="Q243" s="120">
        <f t="shared" si="95"/>
        <v>0</v>
      </c>
      <c r="R243" s="120">
        <f t="shared" si="95"/>
        <v>0</v>
      </c>
      <c r="S243" s="120">
        <f t="shared" si="95"/>
        <v>0</v>
      </c>
      <c r="T243" s="120">
        <f t="shared" si="95"/>
        <v>0</v>
      </c>
      <c r="U243" s="120">
        <f t="shared" si="95"/>
        <v>0</v>
      </c>
      <c r="V243" s="120">
        <f t="shared" si="95"/>
        <v>0</v>
      </c>
      <c r="W243" s="120">
        <f t="shared" si="95"/>
        <v>0</v>
      </c>
      <c r="X243" s="120">
        <f t="shared" si="95"/>
        <v>0</v>
      </c>
      <c r="Y243" s="120">
        <f t="shared" si="95"/>
        <v>0</v>
      </c>
      <c r="Z243" s="120">
        <f t="shared" si="95"/>
        <v>0</v>
      </c>
      <c r="AA243" s="120">
        <f t="shared" si="95"/>
        <v>0</v>
      </c>
      <c r="AB243" s="120">
        <f t="shared" si="95"/>
        <v>0</v>
      </c>
      <c r="AC243" s="120">
        <f t="shared" si="95"/>
        <v>0</v>
      </c>
      <c r="AD243" s="120">
        <f t="shared" si="95"/>
        <v>0</v>
      </c>
      <c r="AE243" s="120">
        <f t="shared" si="95"/>
        <v>0</v>
      </c>
      <c r="AF243" s="120">
        <f t="shared" si="95"/>
        <v>0</v>
      </c>
      <c r="AG243" s="120">
        <f t="shared" si="95"/>
        <v>0</v>
      </c>
      <c r="AH243" s="120">
        <f t="shared" si="95"/>
        <v>0</v>
      </c>
      <c r="AI243" s="120">
        <f t="shared" si="95"/>
        <v>0</v>
      </c>
      <c r="AJ243" s="120">
        <f t="shared" si="95"/>
        <v>0</v>
      </c>
      <c r="AK243" s="120">
        <f t="shared" si="95"/>
        <v>0</v>
      </c>
      <c r="AL243" s="120">
        <f t="shared" si="95"/>
        <v>0</v>
      </c>
      <c r="AM243" s="120">
        <f t="shared" si="95"/>
        <v>0</v>
      </c>
      <c r="AN243" s="120">
        <f t="shared" si="95"/>
        <v>0</v>
      </c>
      <c r="AO243" s="120">
        <f t="shared" si="95"/>
        <v>0</v>
      </c>
      <c r="AP243" s="120">
        <f t="shared" si="95"/>
        <v>0</v>
      </c>
    </row>
    <row r="244" spans="1:42" x14ac:dyDescent="0.2">
      <c r="A244" s="87" t="s">
        <v>13</v>
      </c>
      <c r="B244" s="108"/>
      <c r="C244" s="119">
        <f>SUM(C240:C243)</f>
        <v>0</v>
      </c>
      <c r="D244" s="119">
        <f t="shared" ref="D244:AP244" si="96">SUM(D240:D243)</f>
        <v>0</v>
      </c>
      <c r="E244" s="119">
        <f t="shared" si="96"/>
        <v>0</v>
      </c>
      <c r="F244" s="119">
        <f t="shared" si="96"/>
        <v>0</v>
      </c>
      <c r="G244" s="119">
        <f t="shared" si="96"/>
        <v>0</v>
      </c>
      <c r="H244" s="119">
        <f t="shared" si="96"/>
        <v>0</v>
      </c>
      <c r="I244" s="119">
        <f t="shared" si="96"/>
        <v>0</v>
      </c>
      <c r="J244" s="119">
        <f t="shared" si="96"/>
        <v>0</v>
      </c>
      <c r="K244" s="119">
        <f t="shared" si="96"/>
        <v>0</v>
      </c>
      <c r="L244" s="119">
        <f t="shared" si="96"/>
        <v>0</v>
      </c>
      <c r="M244" s="119">
        <f t="shared" si="96"/>
        <v>0</v>
      </c>
      <c r="N244" s="119">
        <f t="shared" si="96"/>
        <v>0</v>
      </c>
      <c r="O244" s="119">
        <f t="shared" si="96"/>
        <v>0</v>
      </c>
      <c r="P244" s="119">
        <f t="shared" si="96"/>
        <v>0</v>
      </c>
      <c r="Q244" s="119">
        <f t="shared" si="96"/>
        <v>0</v>
      </c>
      <c r="R244" s="119">
        <f t="shared" si="96"/>
        <v>0</v>
      </c>
      <c r="S244" s="119">
        <f t="shared" si="96"/>
        <v>0</v>
      </c>
      <c r="T244" s="119">
        <f t="shared" si="96"/>
        <v>0</v>
      </c>
      <c r="U244" s="119">
        <f t="shared" si="96"/>
        <v>0</v>
      </c>
      <c r="V244" s="119">
        <f t="shared" si="96"/>
        <v>0</v>
      </c>
      <c r="W244" s="119">
        <f t="shared" si="96"/>
        <v>0</v>
      </c>
      <c r="X244" s="119">
        <f t="shared" si="96"/>
        <v>0</v>
      </c>
      <c r="Y244" s="119">
        <f t="shared" si="96"/>
        <v>0</v>
      </c>
      <c r="Z244" s="119">
        <f t="shared" si="96"/>
        <v>0</v>
      </c>
      <c r="AA244" s="119">
        <f t="shared" si="96"/>
        <v>0</v>
      </c>
      <c r="AB244" s="119">
        <f t="shared" si="96"/>
        <v>0</v>
      </c>
      <c r="AC244" s="119">
        <f t="shared" si="96"/>
        <v>0</v>
      </c>
      <c r="AD244" s="119">
        <f t="shared" si="96"/>
        <v>0</v>
      </c>
      <c r="AE244" s="119">
        <f t="shared" si="96"/>
        <v>0</v>
      </c>
      <c r="AF244" s="119">
        <f t="shared" si="96"/>
        <v>0</v>
      </c>
      <c r="AG244" s="119">
        <f t="shared" si="96"/>
        <v>0</v>
      </c>
      <c r="AH244" s="119">
        <f t="shared" si="96"/>
        <v>0</v>
      </c>
      <c r="AI244" s="119">
        <f t="shared" si="96"/>
        <v>0</v>
      </c>
      <c r="AJ244" s="119">
        <f t="shared" si="96"/>
        <v>0</v>
      </c>
      <c r="AK244" s="119">
        <f t="shared" si="96"/>
        <v>0</v>
      </c>
      <c r="AL244" s="119">
        <f t="shared" si="96"/>
        <v>0</v>
      </c>
      <c r="AM244" s="119">
        <f t="shared" si="96"/>
        <v>0</v>
      </c>
      <c r="AN244" s="119">
        <f t="shared" si="96"/>
        <v>0</v>
      </c>
      <c r="AO244" s="119">
        <f t="shared" si="96"/>
        <v>0</v>
      </c>
      <c r="AP244" s="119">
        <f t="shared" si="96"/>
        <v>0</v>
      </c>
    </row>
    <row r="245" spans="1:42" x14ac:dyDescent="0.2">
      <c r="A245" s="18" t="s">
        <v>287</v>
      </c>
      <c r="B245" s="108"/>
      <c r="C245" s="119">
        <f t="shared" ref="C245:AP245" si="97">SUM(C238,C244)</f>
        <v>2776876.2470099609</v>
      </c>
      <c r="D245" s="119">
        <f t="shared" si="97"/>
        <v>2814512.18450996</v>
      </c>
      <c r="E245" s="119">
        <f t="shared" si="97"/>
        <v>2852903.0204474619</v>
      </c>
      <c r="F245" s="119">
        <f t="shared" si="97"/>
        <v>2892063.9072833983</v>
      </c>
      <c r="G245" s="119">
        <f t="shared" si="97"/>
        <v>2932010.3018902345</v>
      </c>
      <c r="H245" s="119">
        <f t="shared" si="97"/>
        <v>2972757.9716742407</v>
      </c>
      <c r="I245" s="119">
        <f t="shared" si="97"/>
        <v>3014323.0008210875</v>
      </c>
      <c r="J245" s="119">
        <f t="shared" si="97"/>
        <v>3056721.7966672098</v>
      </c>
      <c r="K245" s="119">
        <f t="shared" si="97"/>
        <v>3099971.0961995032</v>
      </c>
      <c r="L245" s="119">
        <f t="shared" si="97"/>
        <v>3144087.9726859205</v>
      </c>
      <c r="M245" s="119">
        <f t="shared" si="97"/>
        <v>3189089.8424396329</v>
      </c>
      <c r="N245" s="119">
        <f t="shared" si="97"/>
        <v>3234994.4717194228</v>
      </c>
      <c r="O245" s="119">
        <f t="shared" si="97"/>
        <v>3281819.9837690904</v>
      </c>
      <c r="P245" s="119">
        <f t="shared" si="97"/>
        <v>3329584.8659986365</v>
      </c>
      <c r="Q245" s="119">
        <f t="shared" si="97"/>
        <v>3378307.9773101318</v>
      </c>
      <c r="R245" s="119">
        <f t="shared" si="97"/>
        <v>2551964.786567416</v>
      </c>
      <c r="S245" s="119">
        <f t="shared" si="97"/>
        <v>2602662.4562350335</v>
      </c>
      <c r="T245" s="119">
        <f t="shared" si="97"/>
        <v>2654377.2361334101</v>
      </c>
      <c r="U245" s="119">
        <f t="shared" si="97"/>
        <v>2707129.5473881019</v>
      </c>
      <c r="V245" s="119">
        <f t="shared" si="97"/>
        <v>2760940.2215201887</v>
      </c>
      <c r="W245" s="119">
        <f t="shared" si="97"/>
        <v>2815830.508703528</v>
      </c>
      <c r="X245" s="119">
        <f t="shared" si="97"/>
        <v>2871822.0861883615</v>
      </c>
      <c r="Y245" s="119">
        <f t="shared" si="97"/>
        <v>2928937.0668946663</v>
      </c>
      <c r="Z245" s="119">
        <f t="shared" si="97"/>
        <v>2987198.0081786597</v>
      </c>
      <c r="AA245" s="119">
        <f t="shared" si="97"/>
        <v>3015088.2620301447</v>
      </c>
      <c r="AB245" s="119">
        <f t="shared" si="97"/>
        <v>0</v>
      </c>
      <c r="AC245" s="119">
        <f t="shared" si="97"/>
        <v>0</v>
      </c>
      <c r="AD245" s="119">
        <f t="shared" si="97"/>
        <v>0</v>
      </c>
      <c r="AE245" s="119">
        <f t="shared" si="97"/>
        <v>0</v>
      </c>
      <c r="AF245" s="119">
        <f t="shared" si="97"/>
        <v>0</v>
      </c>
      <c r="AG245" s="119">
        <f t="shared" si="97"/>
        <v>0</v>
      </c>
      <c r="AH245" s="119">
        <f t="shared" si="97"/>
        <v>0</v>
      </c>
      <c r="AI245" s="119">
        <f t="shared" si="97"/>
        <v>0</v>
      </c>
      <c r="AJ245" s="119">
        <f t="shared" si="97"/>
        <v>0</v>
      </c>
      <c r="AK245" s="119">
        <f t="shared" si="97"/>
        <v>0</v>
      </c>
      <c r="AL245" s="119">
        <f t="shared" si="97"/>
        <v>0</v>
      </c>
      <c r="AM245" s="119">
        <f t="shared" si="97"/>
        <v>0</v>
      </c>
      <c r="AN245" s="119">
        <f t="shared" si="97"/>
        <v>0</v>
      </c>
      <c r="AO245" s="119">
        <f t="shared" si="97"/>
        <v>0</v>
      </c>
      <c r="AP245" s="119">
        <f t="shared" si="97"/>
        <v>0</v>
      </c>
    </row>
    <row r="246" spans="1:42" x14ac:dyDescent="0.2">
      <c r="A246" s="18" t="s">
        <v>307</v>
      </c>
      <c r="B246" s="108"/>
      <c r="C246" s="119">
        <f t="array" ref="C246:AP246">Inputs!D157:AQ157</f>
        <v>21</v>
      </c>
      <c r="D246" s="119">
        <v>21</v>
      </c>
      <c r="E246" s="119">
        <v>21</v>
      </c>
      <c r="F246" s="119">
        <v>21</v>
      </c>
      <c r="G246" s="119">
        <v>21</v>
      </c>
      <c r="H246" s="119">
        <v>21</v>
      </c>
      <c r="I246" s="119">
        <v>21</v>
      </c>
      <c r="J246" s="119">
        <v>21</v>
      </c>
      <c r="K246" s="119">
        <v>21</v>
      </c>
      <c r="L246" s="119">
        <v>21</v>
      </c>
      <c r="M246" s="119">
        <v>21</v>
      </c>
      <c r="N246" s="119">
        <v>21</v>
      </c>
      <c r="O246" s="119">
        <v>21</v>
      </c>
      <c r="P246" s="119">
        <v>21</v>
      </c>
      <c r="Q246" s="119">
        <v>21</v>
      </c>
      <c r="R246" s="119">
        <v>21</v>
      </c>
      <c r="S246" s="119">
        <v>21</v>
      </c>
      <c r="T246" s="119">
        <v>21</v>
      </c>
      <c r="U246" s="119">
        <v>21</v>
      </c>
      <c r="V246" s="119">
        <v>21</v>
      </c>
      <c r="W246" s="119">
        <v>21</v>
      </c>
      <c r="X246" s="119">
        <v>21</v>
      </c>
      <c r="Y246" s="119">
        <v>21</v>
      </c>
      <c r="Z246" s="119">
        <v>21</v>
      </c>
      <c r="AA246" s="119">
        <v>21</v>
      </c>
      <c r="AB246" s="119">
        <v>0</v>
      </c>
      <c r="AC246" s="119">
        <v>0</v>
      </c>
      <c r="AD246" s="119">
        <v>0</v>
      </c>
      <c r="AE246" s="119">
        <v>0</v>
      </c>
      <c r="AF246" s="119">
        <v>0</v>
      </c>
      <c r="AG246" s="119">
        <v>0</v>
      </c>
      <c r="AH246" s="119">
        <v>0</v>
      </c>
      <c r="AI246" s="119">
        <v>0</v>
      </c>
      <c r="AJ246" s="119">
        <v>0</v>
      </c>
      <c r="AK246" s="119">
        <v>0</v>
      </c>
      <c r="AL246" s="119">
        <v>0</v>
      </c>
      <c r="AM246" s="119">
        <v>0</v>
      </c>
      <c r="AN246" s="119">
        <v>0</v>
      </c>
      <c r="AO246" s="119">
        <v>0</v>
      </c>
      <c r="AP246" s="119">
        <v>0</v>
      </c>
    </row>
    <row r="247" spans="1:42" x14ac:dyDescent="0.2">
      <c r="A247" s="289" t="s">
        <v>293</v>
      </c>
      <c r="B247" s="292"/>
      <c r="C247" s="288">
        <f t="shared" ref="C247:AP247" si="98">C245*-C246/100</f>
        <v>-583144.0118720918</v>
      </c>
      <c r="D247" s="288">
        <f t="shared" si="98"/>
        <v>-591047.55874709156</v>
      </c>
      <c r="E247" s="288">
        <f t="shared" si="98"/>
        <v>-599109.63429396693</v>
      </c>
      <c r="F247" s="288">
        <f t="shared" si="98"/>
        <v>-607333.42052951362</v>
      </c>
      <c r="G247" s="288">
        <f t="shared" si="98"/>
        <v>-615722.1633969493</v>
      </c>
      <c r="H247" s="288">
        <f t="shared" si="98"/>
        <v>-624279.17405159061</v>
      </c>
      <c r="I247" s="288">
        <f t="shared" si="98"/>
        <v>-633007.8301724284</v>
      </c>
      <c r="J247" s="288">
        <f t="shared" si="98"/>
        <v>-641911.57730011409</v>
      </c>
      <c r="K247" s="288">
        <f t="shared" si="98"/>
        <v>-650993.93020189565</v>
      </c>
      <c r="L247" s="288">
        <f t="shared" si="98"/>
        <v>-660258.47426404338</v>
      </c>
      <c r="M247" s="288">
        <f t="shared" si="98"/>
        <v>-669708.86691232293</v>
      </c>
      <c r="N247" s="288">
        <f t="shared" si="98"/>
        <v>-679348.83906107873</v>
      </c>
      <c r="O247" s="288">
        <f t="shared" si="98"/>
        <v>-689182.19659150904</v>
      </c>
      <c r="P247" s="288">
        <f t="shared" si="98"/>
        <v>-699212.82185971364</v>
      </c>
      <c r="Q247" s="288">
        <f t="shared" si="98"/>
        <v>-709444.67523512768</v>
      </c>
      <c r="R247" s="288">
        <f t="shared" si="98"/>
        <v>-535912.60517915746</v>
      </c>
      <c r="S247" s="288">
        <f t="shared" si="98"/>
        <v>-546559.11580935703</v>
      </c>
      <c r="T247" s="288">
        <f t="shared" si="98"/>
        <v>-557419.21958801616</v>
      </c>
      <c r="U247" s="288">
        <f t="shared" si="98"/>
        <v>-568497.20495150145</v>
      </c>
      <c r="V247" s="288">
        <f t="shared" si="98"/>
        <v>-579797.44651923957</v>
      </c>
      <c r="W247" s="288">
        <f t="shared" si="98"/>
        <v>-591324.40682774084</v>
      </c>
      <c r="X247" s="288">
        <f t="shared" si="98"/>
        <v>-603082.63809955586</v>
      </c>
      <c r="Y247" s="288">
        <f t="shared" si="98"/>
        <v>-615076.78404787998</v>
      </c>
      <c r="Z247" s="288">
        <f t="shared" si="98"/>
        <v>-627311.58171751862</v>
      </c>
      <c r="AA247" s="288">
        <f t="shared" si="98"/>
        <v>-633168.53502633038</v>
      </c>
      <c r="AB247" s="288">
        <f t="shared" si="98"/>
        <v>0</v>
      </c>
      <c r="AC247" s="288">
        <f t="shared" si="98"/>
        <v>0</v>
      </c>
      <c r="AD247" s="288">
        <f t="shared" si="98"/>
        <v>0</v>
      </c>
      <c r="AE247" s="288">
        <f t="shared" si="98"/>
        <v>0</v>
      </c>
      <c r="AF247" s="288">
        <f t="shared" si="98"/>
        <v>0</v>
      </c>
      <c r="AG247" s="288">
        <f t="shared" si="98"/>
        <v>0</v>
      </c>
      <c r="AH247" s="288">
        <f t="shared" si="98"/>
        <v>0</v>
      </c>
      <c r="AI247" s="288">
        <f t="shared" si="98"/>
        <v>0</v>
      </c>
      <c r="AJ247" s="288">
        <f t="shared" si="98"/>
        <v>0</v>
      </c>
      <c r="AK247" s="288">
        <f t="shared" si="98"/>
        <v>0</v>
      </c>
      <c r="AL247" s="288">
        <f t="shared" si="98"/>
        <v>0</v>
      </c>
      <c r="AM247" s="288">
        <f t="shared" si="98"/>
        <v>0</v>
      </c>
      <c r="AN247" s="288">
        <f t="shared" si="98"/>
        <v>0</v>
      </c>
      <c r="AO247" s="288">
        <f t="shared" si="98"/>
        <v>0</v>
      </c>
      <c r="AP247" s="288">
        <f t="shared" si="98"/>
        <v>0</v>
      </c>
    </row>
    <row r="249" spans="1:42" x14ac:dyDescent="0.2">
      <c r="A249" s="82" t="s">
        <v>284</v>
      </c>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row>
    <row r="250" spans="1:42" x14ac:dyDescent="0.2">
      <c r="A250" s="20" t="s">
        <v>294</v>
      </c>
    </row>
    <row r="251" spans="1:42" x14ac:dyDescent="0.2">
      <c r="A251" s="18" t="s">
        <v>279</v>
      </c>
      <c r="C251" s="119">
        <f t="shared" ref="C251:AP251" si="99">C118</f>
        <v>4024942.4526841561</v>
      </c>
      <c r="D251" s="119">
        <f t="shared" si="99"/>
        <v>4000942.8595256046</v>
      </c>
      <c r="E251" s="119">
        <f t="shared" si="99"/>
        <v>3975399.9069920522</v>
      </c>
      <c r="F251" s="119">
        <f t="shared" si="99"/>
        <v>3948294.0110991257</v>
      </c>
      <c r="G251" s="119">
        <f t="shared" si="99"/>
        <v>3919564.6782628396</v>
      </c>
      <c r="H251" s="119">
        <f t="shared" si="99"/>
        <v>3889180.4841596102</v>
      </c>
      <c r="I251" s="119">
        <f t="shared" si="99"/>
        <v>3857109.0520897629</v>
      </c>
      <c r="J251" s="119">
        <f t="shared" si="99"/>
        <v>3823297.0308327745</v>
      </c>
      <c r="K251" s="119">
        <f t="shared" si="99"/>
        <v>3787700.0719821774</v>
      </c>
      <c r="L251" s="119">
        <f t="shared" si="99"/>
        <v>3750282.8067478091</v>
      </c>
      <c r="M251" s="119">
        <f t="shared" si="99"/>
        <v>3710998.8222127454</v>
      </c>
      <c r="N251" s="119">
        <f t="shared" si="99"/>
        <v>3669790.6370319952</v>
      </c>
      <c r="O251" s="119">
        <f t="shared" si="99"/>
        <v>3626619.6765596867</v>
      </c>
      <c r="P251" s="119">
        <f t="shared" si="99"/>
        <v>3581436.2473912146</v>
      </c>
      <c r="Q251" s="119">
        <f t="shared" si="99"/>
        <v>3534179.5113064069</v>
      </c>
      <c r="R251" s="119">
        <f t="shared" si="99"/>
        <v>4250188.2782936571</v>
      </c>
      <c r="S251" s="119">
        <f t="shared" si="99"/>
        <v>4186882.9186342387</v>
      </c>
      <c r="T251" s="119">
        <f t="shared" si="99"/>
        <v>4121364.5986510003</v>
      </c>
      <c r="U251" s="119">
        <f t="shared" si="99"/>
        <v>4053567.6278091995</v>
      </c>
      <c r="V251" s="119">
        <f t="shared" si="99"/>
        <v>3983445.0309801926</v>
      </c>
      <c r="W251" s="119">
        <f t="shared" si="99"/>
        <v>3910928.5184799763</v>
      </c>
      <c r="X251" s="119">
        <f t="shared" si="99"/>
        <v>3835968.4554017596</v>
      </c>
      <c r="Y251" s="119">
        <f t="shared" si="99"/>
        <v>3758503.8302257825</v>
      </c>
      <c r="Z251" s="119">
        <f t="shared" si="99"/>
        <v>3678482.2226891862</v>
      </c>
      <c r="AA251" s="119">
        <f t="shared" si="99"/>
        <v>3629733.3824530034</v>
      </c>
      <c r="AB251" s="119">
        <f t="shared" si="99"/>
        <v>0</v>
      </c>
      <c r="AC251" s="119">
        <f t="shared" si="99"/>
        <v>0</v>
      </c>
      <c r="AD251" s="119">
        <f t="shared" si="99"/>
        <v>0</v>
      </c>
      <c r="AE251" s="119">
        <f t="shared" si="99"/>
        <v>0</v>
      </c>
      <c r="AF251" s="119">
        <f t="shared" si="99"/>
        <v>0</v>
      </c>
      <c r="AG251" s="119">
        <f t="shared" si="99"/>
        <v>0</v>
      </c>
      <c r="AH251" s="119">
        <f t="shared" si="99"/>
        <v>0</v>
      </c>
      <c r="AI251" s="119">
        <f t="shared" si="99"/>
        <v>0</v>
      </c>
      <c r="AJ251" s="119">
        <f t="shared" si="99"/>
        <v>0</v>
      </c>
      <c r="AK251" s="119">
        <f t="shared" si="99"/>
        <v>0</v>
      </c>
      <c r="AL251" s="119">
        <f t="shared" si="99"/>
        <v>0</v>
      </c>
      <c r="AM251" s="119">
        <f t="shared" si="99"/>
        <v>0</v>
      </c>
      <c r="AN251" s="119">
        <f t="shared" si="99"/>
        <v>0</v>
      </c>
      <c r="AO251" s="119">
        <f t="shared" si="99"/>
        <v>0</v>
      </c>
      <c r="AP251" s="119">
        <f t="shared" si="99"/>
        <v>0</v>
      </c>
    </row>
    <row r="252" spans="1:42" x14ac:dyDescent="0.2">
      <c r="A252" s="18" t="s">
        <v>285</v>
      </c>
      <c r="C252" s="119">
        <f t="shared" ref="C252:AP252" si="100">C23</f>
        <v>0</v>
      </c>
      <c r="D252" s="119">
        <f t="shared" si="100"/>
        <v>0</v>
      </c>
      <c r="E252" s="119">
        <f t="shared" si="100"/>
        <v>0</v>
      </c>
      <c r="F252" s="119">
        <f t="shared" si="100"/>
        <v>0</v>
      </c>
      <c r="G252" s="119">
        <f t="shared" si="100"/>
        <v>0</v>
      </c>
      <c r="H252" s="119">
        <f t="shared" si="100"/>
        <v>0</v>
      </c>
      <c r="I252" s="119">
        <f t="shared" si="100"/>
        <v>0</v>
      </c>
      <c r="J252" s="119">
        <f t="shared" si="100"/>
        <v>0</v>
      </c>
      <c r="K252" s="119">
        <f t="shared" si="100"/>
        <v>0</v>
      </c>
      <c r="L252" s="119">
        <f t="shared" si="100"/>
        <v>0</v>
      </c>
      <c r="M252" s="119">
        <f t="shared" si="100"/>
        <v>0</v>
      </c>
      <c r="N252" s="119">
        <f t="shared" si="100"/>
        <v>0</v>
      </c>
      <c r="O252" s="119">
        <f t="shared" si="100"/>
        <v>0</v>
      </c>
      <c r="P252" s="119">
        <f t="shared" si="100"/>
        <v>0</v>
      </c>
      <c r="Q252" s="119">
        <f t="shared" si="100"/>
        <v>0</v>
      </c>
      <c r="R252" s="119">
        <f t="shared" si="100"/>
        <v>0</v>
      </c>
      <c r="S252" s="119">
        <f t="shared" si="100"/>
        <v>0</v>
      </c>
      <c r="T252" s="119">
        <f t="shared" si="100"/>
        <v>0</v>
      </c>
      <c r="U252" s="119">
        <f t="shared" si="100"/>
        <v>0</v>
      </c>
      <c r="V252" s="119">
        <f t="shared" si="100"/>
        <v>0</v>
      </c>
      <c r="W252" s="119">
        <f t="shared" si="100"/>
        <v>0</v>
      </c>
      <c r="X252" s="119">
        <f t="shared" si="100"/>
        <v>0</v>
      </c>
      <c r="Y252" s="119">
        <f t="shared" si="100"/>
        <v>0</v>
      </c>
      <c r="Z252" s="119">
        <f t="shared" si="100"/>
        <v>0</v>
      </c>
      <c r="AA252" s="119">
        <f t="shared" si="100"/>
        <v>0</v>
      </c>
      <c r="AB252" s="119">
        <f t="shared" si="100"/>
        <v>0</v>
      </c>
      <c r="AC252" s="119">
        <f t="shared" si="100"/>
        <v>0</v>
      </c>
      <c r="AD252" s="119">
        <f t="shared" si="100"/>
        <v>0</v>
      </c>
      <c r="AE252" s="119">
        <f t="shared" si="100"/>
        <v>0</v>
      </c>
      <c r="AF252" s="119">
        <f t="shared" si="100"/>
        <v>0</v>
      </c>
      <c r="AG252" s="119">
        <f t="shared" si="100"/>
        <v>0</v>
      </c>
      <c r="AH252" s="119">
        <f t="shared" si="100"/>
        <v>0</v>
      </c>
      <c r="AI252" s="119">
        <f t="shared" si="100"/>
        <v>0</v>
      </c>
      <c r="AJ252" s="119">
        <f t="shared" si="100"/>
        <v>0</v>
      </c>
      <c r="AK252" s="119">
        <f t="shared" si="100"/>
        <v>0</v>
      </c>
      <c r="AL252" s="119">
        <f t="shared" si="100"/>
        <v>0</v>
      </c>
      <c r="AM252" s="119">
        <f t="shared" si="100"/>
        <v>0</v>
      </c>
      <c r="AN252" s="119">
        <f t="shared" si="100"/>
        <v>0</v>
      </c>
      <c r="AO252" s="119">
        <f t="shared" si="100"/>
        <v>0</v>
      </c>
      <c r="AP252" s="119">
        <f t="shared" si="100"/>
        <v>0</v>
      </c>
    </row>
    <row r="253" spans="1:42" x14ac:dyDescent="0.2">
      <c r="A253" s="18" t="s">
        <v>291</v>
      </c>
      <c r="C253" s="120">
        <f t="shared" ref="C253:AP253" si="101">IF(C$2&lt;=analysis_period,-C364-C394-C420-C446,0)</f>
        <v>-17395652.113518748</v>
      </c>
      <c r="D253" s="120">
        <f t="shared" si="101"/>
        <v>-27929410.585168749</v>
      </c>
      <c r="E253" s="120">
        <f t="shared" si="101"/>
        <v>-16947413.029075</v>
      </c>
      <c r="F253" s="120">
        <f t="shared" si="101"/>
        <v>-10353510.92476375</v>
      </c>
      <c r="G253" s="120">
        <f t="shared" si="101"/>
        <v>-10340576.105462501</v>
      </c>
      <c r="H253" s="120">
        <f t="shared" si="101"/>
        <v>-5394099.6230649995</v>
      </c>
      <c r="I253" s="120">
        <f t="shared" si="101"/>
        <v>-453838.57331875002</v>
      </c>
      <c r="J253" s="120">
        <f t="shared" si="101"/>
        <v>-453838.57331875002</v>
      </c>
      <c r="K253" s="120">
        <f t="shared" si="101"/>
        <v>-454006.55798500002</v>
      </c>
      <c r="L253" s="120">
        <f t="shared" si="101"/>
        <v>-453838.57331875002</v>
      </c>
      <c r="M253" s="120">
        <f t="shared" si="101"/>
        <v>-454006.55798500002</v>
      </c>
      <c r="N253" s="120">
        <f t="shared" si="101"/>
        <v>-453558.59887500003</v>
      </c>
      <c r="O253" s="120">
        <f t="shared" si="101"/>
        <v>-454006.55798500002</v>
      </c>
      <c r="P253" s="120">
        <f t="shared" si="101"/>
        <v>-453558.59887500003</v>
      </c>
      <c r="Q253" s="120">
        <f t="shared" si="101"/>
        <v>-3279786.2152662822</v>
      </c>
      <c r="R253" s="120">
        <f t="shared" si="101"/>
        <v>-4832287.8596785516</v>
      </c>
      <c r="S253" s="120">
        <f t="shared" si="101"/>
        <v>-2880894.4025196312</v>
      </c>
      <c r="T253" s="120">
        <f t="shared" si="101"/>
        <v>-1795730.5080117784</v>
      </c>
      <c r="U253" s="120">
        <f t="shared" si="101"/>
        <v>-1795730.5080117784</v>
      </c>
      <c r="V253" s="120">
        <f t="shared" si="101"/>
        <v>-981857.58713088918</v>
      </c>
      <c r="W253" s="120">
        <f t="shared" si="101"/>
        <v>-83992.333125000005</v>
      </c>
      <c r="X253" s="120">
        <f t="shared" si="101"/>
        <v>0</v>
      </c>
      <c r="Y253" s="120">
        <f t="shared" si="101"/>
        <v>0</v>
      </c>
      <c r="Z253" s="120">
        <f t="shared" si="101"/>
        <v>0</v>
      </c>
      <c r="AA253" s="120">
        <f t="shared" si="101"/>
        <v>0</v>
      </c>
      <c r="AB253" s="120">
        <f t="shared" si="101"/>
        <v>0</v>
      </c>
      <c r="AC253" s="120">
        <f t="shared" si="101"/>
        <v>0</v>
      </c>
      <c r="AD253" s="120">
        <f t="shared" si="101"/>
        <v>0</v>
      </c>
      <c r="AE253" s="120">
        <f t="shared" si="101"/>
        <v>0</v>
      </c>
      <c r="AF253" s="120">
        <f t="shared" si="101"/>
        <v>0</v>
      </c>
      <c r="AG253" s="120">
        <f t="shared" si="101"/>
        <v>0</v>
      </c>
      <c r="AH253" s="120">
        <f t="shared" si="101"/>
        <v>0</v>
      </c>
      <c r="AI253" s="120">
        <f t="shared" si="101"/>
        <v>0</v>
      </c>
      <c r="AJ253" s="120">
        <f t="shared" si="101"/>
        <v>0</v>
      </c>
      <c r="AK253" s="120">
        <f t="shared" si="101"/>
        <v>0</v>
      </c>
      <c r="AL253" s="120">
        <f t="shared" si="101"/>
        <v>0</v>
      </c>
      <c r="AM253" s="120">
        <f t="shared" si="101"/>
        <v>0</v>
      </c>
      <c r="AN253" s="120">
        <f t="shared" si="101"/>
        <v>0</v>
      </c>
      <c r="AO253" s="120">
        <f t="shared" si="101"/>
        <v>0</v>
      </c>
      <c r="AP253" s="120">
        <f t="shared" si="101"/>
        <v>0</v>
      </c>
    </row>
    <row r="254" spans="1:42" x14ac:dyDescent="0.2">
      <c r="A254" s="18" t="s">
        <v>316</v>
      </c>
      <c r="C254" s="119">
        <f t="shared" ref="C254:AP254" si="102">SUM(C251:C253)</f>
        <v>-13370709.660834592</v>
      </c>
      <c r="D254" s="119">
        <f t="shared" si="102"/>
        <v>-23928467.725643143</v>
      </c>
      <c r="E254" s="119">
        <f t="shared" si="102"/>
        <v>-12972013.122082949</v>
      </c>
      <c r="F254" s="119">
        <f t="shared" si="102"/>
        <v>-6405216.9136646241</v>
      </c>
      <c r="G254" s="119">
        <f t="shared" si="102"/>
        <v>-6421011.4271996617</v>
      </c>
      <c r="H254" s="119">
        <f t="shared" si="102"/>
        <v>-1504919.1389053892</v>
      </c>
      <c r="I254" s="119">
        <f t="shared" si="102"/>
        <v>3403270.4787710127</v>
      </c>
      <c r="J254" s="119">
        <f t="shared" si="102"/>
        <v>3369458.4575140243</v>
      </c>
      <c r="K254" s="119">
        <f t="shared" si="102"/>
        <v>3333693.5139971776</v>
      </c>
      <c r="L254" s="119">
        <f t="shared" si="102"/>
        <v>3296444.2334290589</v>
      </c>
      <c r="M254" s="119">
        <f t="shared" si="102"/>
        <v>3256992.2642277456</v>
      </c>
      <c r="N254" s="119">
        <f t="shared" si="102"/>
        <v>3216232.0381569951</v>
      </c>
      <c r="O254" s="119">
        <f t="shared" si="102"/>
        <v>3172613.1185746868</v>
      </c>
      <c r="P254" s="119">
        <f t="shared" si="102"/>
        <v>3127877.6485162145</v>
      </c>
      <c r="Q254" s="119">
        <f t="shared" si="102"/>
        <v>254393.29604012473</v>
      </c>
      <c r="R254" s="119">
        <f t="shared" si="102"/>
        <v>-582099.58138489444</v>
      </c>
      <c r="S254" s="119">
        <f t="shared" si="102"/>
        <v>1305988.5161146075</v>
      </c>
      <c r="T254" s="119">
        <f t="shared" si="102"/>
        <v>2325634.0906392219</v>
      </c>
      <c r="U254" s="119">
        <f t="shared" si="102"/>
        <v>2257837.1197974212</v>
      </c>
      <c r="V254" s="119">
        <f t="shared" si="102"/>
        <v>3001587.4438493033</v>
      </c>
      <c r="W254" s="119">
        <f t="shared" si="102"/>
        <v>3826936.1853549764</v>
      </c>
      <c r="X254" s="119">
        <f t="shared" si="102"/>
        <v>3835968.4554017596</v>
      </c>
      <c r="Y254" s="119">
        <f t="shared" si="102"/>
        <v>3758503.8302257825</v>
      </c>
      <c r="Z254" s="119">
        <f t="shared" si="102"/>
        <v>3678482.2226891862</v>
      </c>
      <c r="AA254" s="119">
        <f t="shared" si="102"/>
        <v>3629733.3824530034</v>
      </c>
      <c r="AB254" s="119">
        <f t="shared" si="102"/>
        <v>0</v>
      </c>
      <c r="AC254" s="119">
        <f t="shared" si="102"/>
        <v>0</v>
      </c>
      <c r="AD254" s="119">
        <f t="shared" si="102"/>
        <v>0</v>
      </c>
      <c r="AE254" s="119">
        <f t="shared" si="102"/>
        <v>0</v>
      </c>
      <c r="AF254" s="119">
        <f t="shared" si="102"/>
        <v>0</v>
      </c>
      <c r="AG254" s="119">
        <f t="shared" si="102"/>
        <v>0</v>
      </c>
      <c r="AH254" s="119">
        <f t="shared" si="102"/>
        <v>0</v>
      </c>
      <c r="AI254" s="119">
        <f t="shared" si="102"/>
        <v>0</v>
      </c>
      <c r="AJ254" s="119">
        <f t="shared" si="102"/>
        <v>0</v>
      </c>
      <c r="AK254" s="119">
        <f t="shared" si="102"/>
        <v>0</v>
      </c>
      <c r="AL254" s="119">
        <f t="shared" si="102"/>
        <v>0</v>
      </c>
      <c r="AM254" s="119">
        <f t="shared" si="102"/>
        <v>0</v>
      </c>
      <c r="AN254" s="119">
        <f t="shared" si="102"/>
        <v>0</v>
      </c>
      <c r="AO254" s="119">
        <f t="shared" si="102"/>
        <v>0</v>
      </c>
      <c r="AP254" s="119">
        <f t="shared" si="102"/>
        <v>0</v>
      </c>
    </row>
    <row r="255" spans="1:42" x14ac:dyDescent="0.2">
      <c r="A255" s="18" t="s">
        <v>347</v>
      </c>
      <c r="C255" s="119"/>
    </row>
    <row r="256" spans="1:42" x14ac:dyDescent="0.2">
      <c r="A256" s="87" t="s">
        <v>129</v>
      </c>
    </row>
    <row r="257" spans="1:3" x14ac:dyDescent="0.2">
      <c r="A257" s="22" t="s">
        <v>4</v>
      </c>
      <c r="C257" s="119">
        <f>IF(ibi_fed_amount_tax_sta="Yes",C614,0)</f>
        <v>0</v>
      </c>
    </row>
    <row r="258" spans="1:3" x14ac:dyDescent="0.2">
      <c r="A258" s="22" t="s">
        <v>5</v>
      </c>
      <c r="C258" s="119">
        <f>IF(ibi_sta_amount_tax_sta="Yes",C615,0)</f>
        <v>0</v>
      </c>
    </row>
    <row r="259" spans="1:3" x14ac:dyDescent="0.2">
      <c r="A259" s="22" t="s">
        <v>162</v>
      </c>
      <c r="C259" s="119">
        <f>IF(ibi_uti_amount_tax_sta="Yes",C616,0)</f>
        <v>0</v>
      </c>
    </row>
    <row r="260" spans="1:3" x14ac:dyDescent="0.2">
      <c r="A260" s="22" t="s">
        <v>163</v>
      </c>
      <c r="C260" s="120">
        <f>IF(ibi_oth_amount_tax_sta="Yes",C617,0)</f>
        <v>0</v>
      </c>
    </row>
    <row r="261" spans="1:3" x14ac:dyDescent="0.2">
      <c r="A261" s="22" t="s">
        <v>13</v>
      </c>
      <c r="C261" s="119">
        <f>SUM(C257:C260)</f>
        <v>0</v>
      </c>
    </row>
    <row r="262" spans="1:3" x14ac:dyDescent="0.2">
      <c r="A262" s="87" t="s">
        <v>134</v>
      </c>
    </row>
    <row r="263" spans="1:3" x14ac:dyDescent="0.2">
      <c r="A263" s="22" t="s">
        <v>4</v>
      </c>
      <c r="C263" s="119">
        <f>IF(ibi_fed_percent_tax_sta="Yes",C620,0)</f>
        <v>0</v>
      </c>
    </row>
    <row r="264" spans="1:3" x14ac:dyDescent="0.2">
      <c r="A264" s="22" t="s">
        <v>5</v>
      </c>
      <c r="C264" s="119">
        <f>IF(ibi_sta_percent_tax_sta="Yes",C621,0)</f>
        <v>0</v>
      </c>
    </row>
    <row r="265" spans="1:3" x14ac:dyDescent="0.2">
      <c r="A265" s="22" t="s">
        <v>162</v>
      </c>
      <c r="C265" s="119">
        <f>IF(ibi_uti_percent_tax_sta="Yes",C622,0)</f>
        <v>0</v>
      </c>
    </row>
    <row r="266" spans="1:3" x14ac:dyDescent="0.2">
      <c r="A266" s="22" t="s">
        <v>163</v>
      </c>
      <c r="C266" s="120">
        <f>IF(ibi_oth_percent_tax_sta="Yes",C623,0)</f>
        <v>0</v>
      </c>
    </row>
    <row r="267" spans="1:3" x14ac:dyDescent="0.2">
      <c r="A267" s="22" t="s">
        <v>13</v>
      </c>
      <c r="C267" s="119">
        <f>SUM(C263:C266)</f>
        <v>0</v>
      </c>
    </row>
    <row r="268" spans="1:3" x14ac:dyDescent="0.2">
      <c r="A268" s="18" t="s">
        <v>335</v>
      </c>
      <c r="C268" s="119"/>
    </row>
    <row r="269" spans="1:3" x14ac:dyDescent="0.2">
      <c r="A269" s="22" t="s">
        <v>4</v>
      </c>
      <c r="C269" s="119">
        <f>IF(cbi_fed_tax_sta="Yes",C628,0)</f>
        <v>0</v>
      </c>
    </row>
    <row r="270" spans="1:3" x14ac:dyDescent="0.2">
      <c r="A270" s="22" t="s">
        <v>5</v>
      </c>
      <c r="C270" s="119">
        <f>IF(cbi_sta_tax_sta="Yes",C629,0)</f>
        <v>0</v>
      </c>
    </row>
    <row r="271" spans="1:3" x14ac:dyDescent="0.2">
      <c r="A271" s="22" t="s">
        <v>162</v>
      </c>
      <c r="C271" s="119">
        <f>IF(cbi_uti_tax_sta="Yes",C630,0)</f>
        <v>0</v>
      </c>
    </row>
    <row r="272" spans="1:3" x14ac:dyDescent="0.2">
      <c r="A272" s="22" t="s">
        <v>163</v>
      </c>
      <c r="C272" s="120">
        <f>IF(cbi_oth_tax_sta="Yes",C631,0)</f>
        <v>0</v>
      </c>
    </row>
    <row r="273" spans="1:42" x14ac:dyDescent="0.2">
      <c r="A273" s="22" t="s">
        <v>13</v>
      </c>
      <c r="C273" s="119">
        <f>SUM(C269:C272)</f>
        <v>0</v>
      </c>
    </row>
    <row r="274" spans="1:42" x14ac:dyDescent="0.2">
      <c r="A274" s="18" t="s">
        <v>289</v>
      </c>
      <c r="C274" s="120">
        <f>C261+C267+C273</f>
        <v>0</v>
      </c>
      <c r="D274" s="120">
        <f t="shared" ref="D274:AP274" si="103">D261+D267+D273</f>
        <v>0</v>
      </c>
      <c r="E274" s="120">
        <f t="shared" si="103"/>
        <v>0</v>
      </c>
      <c r="F274" s="120">
        <f t="shared" si="103"/>
        <v>0</v>
      </c>
      <c r="G274" s="120">
        <f t="shared" si="103"/>
        <v>0</v>
      </c>
      <c r="H274" s="120">
        <f t="shared" si="103"/>
        <v>0</v>
      </c>
      <c r="I274" s="120">
        <f t="shared" si="103"/>
        <v>0</v>
      </c>
      <c r="J274" s="120">
        <f t="shared" si="103"/>
        <v>0</v>
      </c>
      <c r="K274" s="120">
        <f t="shared" si="103"/>
        <v>0</v>
      </c>
      <c r="L274" s="120">
        <f t="shared" si="103"/>
        <v>0</v>
      </c>
      <c r="M274" s="120">
        <f t="shared" si="103"/>
        <v>0</v>
      </c>
      <c r="N274" s="120">
        <f t="shared" si="103"/>
        <v>0</v>
      </c>
      <c r="O274" s="120">
        <f t="shared" si="103"/>
        <v>0</v>
      </c>
      <c r="P274" s="120">
        <f t="shared" si="103"/>
        <v>0</v>
      </c>
      <c r="Q274" s="120">
        <f t="shared" si="103"/>
        <v>0</v>
      </c>
      <c r="R274" s="120">
        <f t="shared" si="103"/>
        <v>0</v>
      </c>
      <c r="S274" s="120">
        <f t="shared" si="103"/>
        <v>0</v>
      </c>
      <c r="T274" s="120">
        <f t="shared" si="103"/>
        <v>0</v>
      </c>
      <c r="U274" s="120">
        <f t="shared" si="103"/>
        <v>0</v>
      </c>
      <c r="V274" s="120">
        <f t="shared" si="103"/>
        <v>0</v>
      </c>
      <c r="W274" s="120">
        <f t="shared" si="103"/>
        <v>0</v>
      </c>
      <c r="X274" s="120">
        <f t="shared" si="103"/>
        <v>0</v>
      </c>
      <c r="Y274" s="120">
        <f t="shared" si="103"/>
        <v>0</v>
      </c>
      <c r="Z274" s="120">
        <f t="shared" si="103"/>
        <v>0</v>
      </c>
      <c r="AA274" s="120">
        <f t="shared" si="103"/>
        <v>0</v>
      </c>
      <c r="AB274" s="120">
        <f t="shared" si="103"/>
        <v>0</v>
      </c>
      <c r="AC274" s="120">
        <f t="shared" si="103"/>
        <v>0</v>
      </c>
      <c r="AD274" s="120">
        <f t="shared" si="103"/>
        <v>0</v>
      </c>
      <c r="AE274" s="120">
        <f t="shared" si="103"/>
        <v>0</v>
      </c>
      <c r="AF274" s="120">
        <f t="shared" si="103"/>
        <v>0</v>
      </c>
      <c r="AG274" s="120">
        <f t="shared" si="103"/>
        <v>0</v>
      </c>
      <c r="AH274" s="120">
        <f t="shared" si="103"/>
        <v>0</v>
      </c>
      <c r="AI274" s="120">
        <f t="shared" si="103"/>
        <v>0</v>
      </c>
      <c r="AJ274" s="120">
        <f t="shared" si="103"/>
        <v>0</v>
      </c>
      <c r="AK274" s="120">
        <f t="shared" si="103"/>
        <v>0</v>
      </c>
      <c r="AL274" s="120">
        <f t="shared" si="103"/>
        <v>0</v>
      </c>
      <c r="AM274" s="120">
        <f t="shared" si="103"/>
        <v>0</v>
      </c>
      <c r="AN274" s="120">
        <f t="shared" si="103"/>
        <v>0</v>
      </c>
      <c r="AO274" s="120">
        <f t="shared" si="103"/>
        <v>0</v>
      </c>
      <c r="AP274" s="120">
        <f t="shared" si="103"/>
        <v>0</v>
      </c>
    </row>
    <row r="275" spans="1:42" x14ac:dyDescent="0.2">
      <c r="A275" s="18" t="s">
        <v>287</v>
      </c>
      <c r="C275" s="119">
        <f>C254+C274</f>
        <v>-13370709.660834592</v>
      </c>
      <c r="D275" s="119">
        <f t="shared" ref="D275:AP275" si="104">D254+D274</f>
        <v>-23928467.725643143</v>
      </c>
      <c r="E275" s="119">
        <f t="shared" si="104"/>
        <v>-12972013.122082949</v>
      </c>
      <c r="F275" s="119">
        <f t="shared" si="104"/>
        <v>-6405216.9136646241</v>
      </c>
      <c r="G275" s="119">
        <f t="shared" si="104"/>
        <v>-6421011.4271996617</v>
      </c>
      <c r="H275" s="119">
        <f t="shared" si="104"/>
        <v>-1504919.1389053892</v>
      </c>
      <c r="I275" s="119">
        <f t="shared" si="104"/>
        <v>3403270.4787710127</v>
      </c>
      <c r="J275" s="119">
        <f t="shared" si="104"/>
        <v>3369458.4575140243</v>
      </c>
      <c r="K275" s="119">
        <f t="shared" si="104"/>
        <v>3333693.5139971776</v>
      </c>
      <c r="L275" s="119">
        <f t="shared" si="104"/>
        <v>3296444.2334290589</v>
      </c>
      <c r="M275" s="119">
        <f t="shared" si="104"/>
        <v>3256992.2642277456</v>
      </c>
      <c r="N275" s="119">
        <f t="shared" si="104"/>
        <v>3216232.0381569951</v>
      </c>
      <c r="O275" s="119">
        <f t="shared" si="104"/>
        <v>3172613.1185746868</v>
      </c>
      <c r="P275" s="119">
        <f t="shared" si="104"/>
        <v>3127877.6485162145</v>
      </c>
      <c r="Q275" s="119">
        <f t="shared" si="104"/>
        <v>254393.29604012473</v>
      </c>
      <c r="R275" s="119">
        <f t="shared" si="104"/>
        <v>-582099.58138489444</v>
      </c>
      <c r="S275" s="119">
        <f t="shared" si="104"/>
        <v>1305988.5161146075</v>
      </c>
      <c r="T275" s="119">
        <f t="shared" si="104"/>
        <v>2325634.0906392219</v>
      </c>
      <c r="U275" s="119">
        <f t="shared" si="104"/>
        <v>2257837.1197974212</v>
      </c>
      <c r="V275" s="119">
        <f t="shared" si="104"/>
        <v>3001587.4438493033</v>
      </c>
      <c r="W275" s="119">
        <f t="shared" si="104"/>
        <v>3826936.1853549764</v>
      </c>
      <c r="X275" s="119">
        <f t="shared" si="104"/>
        <v>3835968.4554017596</v>
      </c>
      <c r="Y275" s="119">
        <f t="shared" si="104"/>
        <v>3758503.8302257825</v>
      </c>
      <c r="Z275" s="119">
        <f t="shared" si="104"/>
        <v>3678482.2226891862</v>
      </c>
      <c r="AA275" s="119">
        <f t="shared" si="104"/>
        <v>3629733.3824530034</v>
      </c>
      <c r="AB275" s="119">
        <f t="shared" si="104"/>
        <v>0</v>
      </c>
      <c r="AC275" s="119">
        <f t="shared" si="104"/>
        <v>0</v>
      </c>
      <c r="AD275" s="119">
        <f t="shared" si="104"/>
        <v>0</v>
      </c>
      <c r="AE275" s="119">
        <f t="shared" si="104"/>
        <v>0</v>
      </c>
      <c r="AF275" s="119">
        <f t="shared" si="104"/>
        <v>0</v>
      </c>
      <c r="AG275" s="119">
        <f t="shared" si="104"/>
        <v>0</v>
      </c>
      <c r="AH275" s="119">
        <f t="shared" si="104"/>
        <v>0</v>
      </c>
      <c r="AI275" s="119">
        <f t="shared" si="104"/>
        <v>0</v>
      </c>
      <c r="AJ275" s="119">
        <f t="shared" si="104"/>
        <v>0</v>
      </c>
      <c r="AK275" s="119">
        <f t="shared" si="104"/>
        <v>0</v>
      </c>
      <c r="AL275" s="119">
        <f t="shared" si="104"/>
        <v>0</v>
      </c>
      <c r="AM275" s="119">
        <f t="shared" si="104"/>
        <v>0</v>
      </c>
      <c r="AN275" s="119">
        <f t="shared" si="104"/>
        <v>0</v>
      </c>
      <c r="AO275" s="119">
        <f t="shared" si="104"/>
        <v>0</v>
      </c>
      <c r="AP275" s="119">
        <f t="shared" si="104"/>
        <v>0</v>
      </c>
    </row>
    <row r="276" spans="1:42" x14ac:dyDescent="0.2">
      <c r="A276" s="18" t="s">
        <v>315</v>
      </c>
      <c r="C276" s="119">
        <f t="array" ref="C276:AP276">Inputs!D156:AQ156</f>
        <v>7</v>
      </c>
      <c r="D276" s="119">
        <v>7</v>
      </c>
      <c r="E276" s="119">
        <v>7</v>
      </c>
      <c r="F276" s="119">
        <v>7</v>
      </c>
      <c r="G276" s="119">
        <v>7</v>
      </c>
      <c r="H276" s="119">
        <v>7</v>
      </c>
      <c r="I276" s="119">
        <v>7</v>
      </c>
      <c r="J276" s="119">
        <v>7</v>
      </c>
      <c r="K276" s="119">
        <v>7</v>
      </c>
      <c r="L276" s="119">
        <v>7</v>
      </c>
      <c r="M276" s="119">
        <v>7</v>
      </c>
      <c r="N276" s="119">
        <v>7</v>
      </c>
      <c r="O276" s="119">
        <v>7</v>
      </c>
      <c r="P276" s="119">
        <v>7</v>
      </c>
      <c r="Q276" s="119">
        <v>7</v>
      </c>
      <c r="R276" s="119">
        <v>7</v>
      </c>
      <c r="S276" s="119">
        <v>7</v>
      </c>
      <c r="T276" s="119">
        <v>7</v>
      </c>
      <c r="U276" s="119">
        <v>7</v>
      </c>
      <c r="V276" s="119">
        <v>7</v>
      </c>
      <c r="W276" s="119">
        <v>7</v>
      </c>
      <c r="X276" s="119">
        <v>7</v>
      </c>
      <c r="Y276" s="119">
        <v>7</v>
      </c>
      <c r="Z276" s="119">
        <v>7</v>
      </c>
      <c r="AA276" s="119">
        <v>7</v>
      </c>
      <c r="AB276" s="119">
        <v>0</v>
      </c>
      <c r="AC276" s="119">
        <v>0</v>
      </c>
      <c r="AD276" s="119">
        <v>0</v>
      </c>
      <c r="AE276" s="119">
        <v>0</v>
      </c>
      <c r="AF276" s="119">
        <v>0</v>
      </c>
      <c r="AG276" s="119">
        <v>0</v>
      </c>
      <c r="AH276" s="119">
        <v>0</v>
      </c>
      <c r="AI276" s="119">
        <v>0</v>
      </c>
      <c r="AJ276" s="119">
        <v>0</v>
      </c>
      <c r="AK276" s="119">
        <v>0</v>
      </c>
      <c r="AL276" s="119">
        <v>0</v>
      </c>
      <c r="AM276" s="119">
        <v>0</v>
      </c>
      <c r="AN276" s="119">
        <v>0</v>
      </c>
      <c r="AO276" s="119">
        <v>0</v>
      </c>
      <c r="AP276" s="119">
        <v>0</v>
      </c>
    </row>
    <row r="277" spans="1:42" x14ac:dyDescent="0.2">
      <c r="A277" s="205" t="s">
        <v>306</v>
      </c>
      <c r="B277" s="30"/>
      <c r="C277" s="137">
        <f>C275*-C276/100</f>
        <v>935949.67625842139</v>
      </c>
      <c r="D277" s="137">
        <f t="shared" ref="D277:AP277" si="105">D275*-D276/100</f>
        <v>1674992.7407950198</v>
      </c>
      <c r="E277" s="137">
        <f t="shared" si="105"/>
        <v>908040.91854580643</v>
      </c>
      <c r="F277" s="137">
        <f t="shared" si="105"/>
        <v>448365.18395652366</v>
      </c>
      <c r="G277" s="137">
        <f t="shared" si="105"/>
        <v>449470.79990397632</v>
      </c>
      <c r="H277" s="137">
        <f t="shared" si="105"/>
        <v>105344.33972337724</v>
      </c>
      <c r="I277" s="137">
        <f t="shared" si="105"/>
        <v>-238228.9335139709</v>
      </c>
      <c r="J277" s="137">
        <f t="shared" si="105"/>
        <v>-235862.09202598169</v>
      </c>
      <c r="K277" s="137">
        <f t="shared" si="105"/>
        <v>-233358.54597980241</v>
      </c>
      <c r="L277" s="137">
        <f t="shared" si="105"/>
        <v>-230751.09634003413</v>
      </c>
      <c r="M277" s="137">
        <f t="shared" si="105"/>
        <v>-227989.45849594221</v>
      </c>
      <c r="N277" s="137">
        <f t="shared" si="105"/>
        <v>-225136.24267098968</v>
      </c>
      <c r="O277" s="137">
        <f t="shared" si="105"/>
        <v>-222082.91830022808</v>
      </c>
      <c r="P277" s="137">
        <f t="shared" si="105"/>
        <v>-218951.435396135</v>
      </c>
      <c r="Q277" s="137">
        <f t="shared" si="105"/>
        <v>-17807.530722808729</v>
      </c>
      <c r="R277" s="137">
        <f t="shared" si="105"/>
        <v>40746.970696942612</v>
      </c>
      <c r="S277" s="137">
        <f t="shared" si="105"/>
        <v>-91419.196128022522</v>
      </c>
      <c r="T277" s="137">
        <f t="shared" si="105"/>
        <v>-162794.38634474552</v>
      </c>
      <c r="U277" s="137">
        <f t="shared" si="105"/>
        <v>-158048.59838581947</v>
      </c>
      <c r="V277" s="137">
        <f t="shared" si="105"/>
        <v>-210111.12106945124</v>
      </c>
      <c r="W277" s="137">
        <f t="shared" si="105"/>
        <v>-267885.53297484835</v>
      </c>
      <c r="X277" s="137">
        <f t="shared" si="105"/>
        <v>-268517.79187812319</v>
      </c>
      <c r="Y277" s="137">
        <f t="shared" si="105"/>
        <v>-263095.26811580476</v>
      </c>
      <c r="Z277" s="137">
        <f t="shared" si="105"/>
        <v>-257493.75558824305</v>
      </c>
      <c r="AA277" s="137">
        <f t="shared" si="105"/>
        <v>-254081.33677171025</v>
      </c>
      <c r="AB277" s="137">
        <f t="shared" si="105"/>
        <v>0</v>
      </c>
      <c r="AC277" s="137">
        <f t="shared" si="105"/>
        <v>0</v>
      </c>
      <c r="AD277" s="137">
        <f t="shared" si="105"/>
        <v>0</v>
      </c>
      <c r="AE277" s="137">
        <f t="shared" si="105"/>
        <v>0</v>
      </c>
      <c r="AF277" s="137">
        <f t="shared" si="105"/>
        <v>0</v>
      </c>
      <c r="AG277" s="137">
        <f t="shared" si="105"/>
        <v>0</v>
      </c>
      <c r="AH277" s="137">
        <f t="shared" si="105"/>
        <v>0</v>
      </c>
      <c r="AI277" s="137">
        <f t="shared" si="105"/>
        <v>0</v>
      </c>
      <c r="AJ277" s="137">
        <f t="shared" si="105"/>
        <v>0</v>
      </c>
      <c r="AK277" s="137">
        <f t="shared" si="105"/>
        <v>0</v>
      </c>
      <c r="AL277" s="137">
        <f t="shared" si="105"/>
        <v>0</v>
      </c>
      <c r="AM277" s="137">
        <f t="shared" si="105"/>
        <v>0</v>
      </c>
      <c r="AN277" s="137">
        <f t="shared" si="105"/>
        <v>0</v>
      </c>
      <c r="AO277" s="137">
        <f t="shared" si="105"/>
        <v>0</v>
      </c>
      <c r="AP277" s="137">
        <f t="shared" si="105"/>
        <v>0</v>
      </c>
    </row>
    <row r="279" spans="1:42" x14ac:dyDescent="0.2">
      <c r="A279" s="20" t="s">
        <v>295</v>
      </c>
    </row>
    <row r="280" spans="1:42" x14ac:dyDescent="0.2">
      <c r="A280" s="18" t="s">
        <v>279</v>
      </c>
      <c r="C280" s="119">
        <f t="shared" ref="C280:AP280" si="106">C118</f>
        <v>4024942.4526841561</v>
      </c>
      <c r="D280" s="119">
        <f t="shared" si="106"/>
        <v>4000942.8595256046</v>
      </c>
      <c r="E280" s="119">
        <f t="shared" si="106"/>
        <v>3975399.9069920522</v>
      </c>
      <c r="F280" s="119">
        <f t="shared" si="106"/>
        <v>3948294.0110991257</v>
      </c>
      <c r="G280" s="119">
        <f t="shared" si="106"/>
        <v>3919564.6782628396</v>
      </c>
      <c r="H280" s="119">
        <f t="shared" si="106"/>
        <v>3889180.4841596102</v>
      </c>
      <c r="I280" s="119">
        <f t="shared" si="106"/>
        <v>3857109.0520897629</v>
      </c>
      <c r="J280" s="119">
        <f t="shared" si="106"/>
        <v>3823297.0308327745</v>
      </c>
      <c r="K280" s="119">
        <f t="shared" si="106"/>
        <v>3787700.0719821774</v>
      </c>
      <c r="L280" s="119">
        <f t="shared" si="106"/>
        <v>3750282.8067478091</v>
      </c>
      <c r="M280" s="119">
        <f t="shared" si="106"/>
        <v>3710998.8222127454</v>
      </c>
      <c r="N280" s="119">
        <f t="shared" si="106"/>
        <v>3669790.6370319952</v>
      </c>
      <c r="O280" s="119">
        <f t="shared" si="106"/>
        <v>3626619.6765596867</v>
      </c>
      <c r="P280" s="119">
        <f t="shared" si="106"/>
        <v>3581436.2473912146</v>
      </c>
      <c r="Q280" s="119">
        <f t="shared" si="106"/>
        <v>3534179.5113064069</v>
      </c>
      <c r="R280" s="119">
        <f t="shared" si="106"/>
        <v>4250188.2782936571</v>
      </c>
      <c r="S280" s="119">
        <f t="shared" si="106"/>
        <v>4186882.9186342387</v>
      </c>
      <c r="T280" s="119">
        <f t="shared" si="106"/>
        <v>4121364.5986510003</v>
      </c>
      <c r="U280" s="119">
        <f t="shared" si="106"/>
        <v>4053567.6278091995</v>
      </c>
      <c r="V280" s="119">
        <f t="shared" si="106"/>
        <v>3983445.0309801926</v>
      </c>
      <c r="W280" s="119">
        <f t="shared" si="106"/>
        <v>3910928.5184799763</v>
      </c>
      <c r="X280" s="119">
        <f t="shared" si="106"/>
        <v>3835968.4554017596</v>
      </c>
      <c r="Y280" s="119">
        <f t="shared" si="106"/>
        <v>3758503.8302257825</v>
      </c>
      <c r="Z280" s="119">
        <f t="shared" si="106"/>
        <v>3678482.2226891862</v>
      </c>
      <c r="AA280" s="119">
        <f t="shared" si="106"/>
        <v>3629733.3824530034</v>
      </c>
      <c r="AB280" s="119">
        <f t="shared" si="106"/>
        <v>0</v>
      </c>
      <c r="AC280" s="119">
        <f t="shared" si="106"/>
        <v>0</v>
      </c>
      <c r="AD280" s="119">
        <f t="shared" si="106"/>
        <v>0</v>
      </c>
      <c r="AE280" s="119">
        <f t="shared" si="106"/>
        <v>0</v>
      </c>
      <c r="AF280" s="119">
        <f t="shared" si="106"/>
        <v>0</v>
      </c>
      <c r="AG280" s="119">
        <f t="shared" si="106"/>
        <v>0</v>
      </c>
      <c r="AH280" s="119">
        <f t="shared" si="106"/>
        <v>0</v>
      </c>
      <c r="AI280" s="119">
        <f t="shared" si="106"/>
        <v>0</v>
      </c>
      <c r="AJ280" s="119">
        <f t="shared" si="106"/>
        <v>0</v>
      </c>
      <c r="AK280" s="119">
        <f t="shared" si="106"/>
        <v>0</v>
      </c>
      <c r="AL280" s="119">
        <f t="shared" si="106"/>
        <v>0</v>
      </c>
      <c r="AM280" s="119">
        <f t="shared" si="106"/>
        <v>0</v>
      </c>
      <c r="AN280" s="119">
        <f t="shared" si="106"/>
        <v>0</v>
      </c>
      <c r="AO280" s="119">
        <f t="shared" si="106"/>
        <v>0</v>
      </c>
      <c r="AP280" s="119">
        <f t="shared" si="106"/>
        <v>0</v>
      </c>
    </row>
    <row r="281" spans="1:42" x14ac:dyDescent="0.2">
      <c r="A281" s="18" t="s">
        <v>285</v>
      </c>
      <c r="C281" s="119">
        <f>C23</f>
        <v>0</v>
      </c>
      <c r="D281" s="119">
        <f t="shared" ref="D281:AP281" si="107">D23</f>
        <v>0</v>
      </c>
      <c r="E281" s="119">
        <f t="shared" si="107"/>
        <v>0</v>
      </c>
      <c r="F281" s="119">
        <f t="shared" si="107"/>
        <v>0</v>
      </c>
      <c r="G281" s="119">
        <f t="shared" si="107"/>
        <v>0</v>
      </c>
      <c r="H281" s="119">
        <f t="shared" si="107"/>
        <v>0</v>
      </c>
      <c r="I281" s="119">
        <f t="shared" si="107"/>
        <v>0</v>
      </c>
      <c r="J281" s="119">
        <f t="shared" si="107"/>
        <v>0</v>
      </c>
      <c r="K281" s="119">
        <f t="shared" si="107"/>
        <v>0</v>
      </c>
      <c r="L281" s="119">
        <f t="shared" si="107"/>
        <v>0</v>
      </c>
      <c r="M281" s="119">
        <f t="shared" si="107"/>
        <v>0</v>
      </c>
      <c r="N281" s="119">
        <f t="shared" si="107"/>
        <v>0</v>
      </c>
      <c r="O281" s="119">
        <f t="shared" si="107"/>
        <v>0</v>
      </c>
      <c r="P281" s="119">
        <f t="shared" si="107"/>
        <v>0</v>
      </c>
      <c r="Q281" s="119">
        <f t="shared" si="107"/>
        <v>0</v>
      </c>
      <c r="R281" s="119">
        <f t="shared" si="107"/>
        <v>0</v>
      </c>
      <c r="S281" s="119">
        <f t="shared" si="107"/>
        <v>0</v>
      </c>
      <c r="T281" s="119">
        <f t="shared" si="107"/>
        <v>0</v>
      </c>
      <c r="U281" s="119">
        <f t="shared" si="107"/>
        <v>0</v>
      </c>
      <c r="V281" s="119">
        <f t="shared" si="107"/>
        <v>0</v>
      </c>
      <c r="W281" s="119">
        <f t="shared" si="107"/>
        <v>0</v>
      </c>
      <c r="X281" s="119">
        <f t="shared" si="107"/>
        <v>0</v>
      </c>
      <c r="Y281" s="119">
        <f t="shared" si="107"/>
        <v>0</v>
      </c>
      <c r="Z281" s="119">
        <f t="shared" si="107"/>
        <v>0</v>
      </c>
      <c r="AA281" s="119">
        <f t="shared" si="107"/>
        <v>0</v>
      </c>
      <c r="AB281" s="119">
        <f t="shared" si="107"/>
        <v>0</v>
      </c>
      <c r="AC281" s="119">
        <f t="shared" si="107"/>
        <v>0</v>
      </c>
      <c r="AD281" s="119">
        <f t="shared" si="107"/>
        <v>0</v>
      </c>
      <c r="AE281" s="119">
        <f t="shared" si="107"/>
        <v>0</v>
      </c>
      <c r="AF281" s="119">
        <f t="shared" si="107"/>
        <v>0</v>
      </c>
      <c r="AG281" s="119">
        <f t="shared" si="107"/>
        <v>0</v>
      </c>
      <c r="AH281" s="119">
        <f t="shared" si="107"/>
        <v>0</v>
      </c>
      <c r="AI281" s="119">
        <f t="shared" si="107"/>
        <v>0</v>
      </c>
      <c r="AJ281" s="119">
        <f t="shared" si="107"/>
        <v>0</v>
      </c>
      <c r="AK281" s="119">
        <f t="shared" si="107"/>
        <v>0</v>
      </c>
      <c r="AL281" s="119">
        <f t="shared" si="107"/>
        <v>0</v>
      </c>
      <c r="AM281" s="119">
        <f t="shared" si="107"/>
        <v>0</v>
      </c>
      <c r="AN281" s="119">
        <f t="shared" si="107"/>
        <v>0</v>
      </c>
      <c r="AO281" s="119">
        <f t="shared" si="107"/>
        <v>0</v>
      </c>
      <c r="AP281" s="119">
        <f t="shared" si="107"/>
        <v>0</v>
      </c>
    </row>
    <row r="282" spans="1:42" x14ac:dyDescent="0.2">
      <c r="A282" s="18" t="s">
        <v>291</v>
      </c>
      <c r="C282" s="119">
        <f t="shared" ref="C282:AP282" si="108">IF(C$2&lt;=analysis_period,-C500-C531-C557-C583,0)</f>
        <v>-17395652.113518748</v>
      </c>
      <c r="D282" s="119">
        <f t="shared" si="108"/>
        <v>-27929410.585168749</v>
      </c>
      <c r="E282" s="119">
        <f t="shared" si="108"/>
        <v>-16947413.029075</v>
      </c>
      <c r="F282" s="119">
        <f t="shared" si="108"/>
        <v>-10353510.92476375</v>
      </c>
      <c r="G282" s="119">
        <f t="shared" si="108"/>
        <v>-10340576.105462501</v>
      </c>
      <c r="H282" s="119">
        <f t="shared" si="108"/>
        <v>-5394099.6230649995</v>
      </c>
      <c r="I282" s="119">
        <f t="shared" si="108"/>
        <v>-453838.57331875002</v>
      </c>
      <c r="J282" s="119">
        <f t="shared" si="108"/>
        <v>-453838.57331875002</v>
      </c>
      <c r="K282" s="119">
        <f t="shared" si="108"/>
        <v>-454006.55798500002</v>
      </c>
      <c r="L282" s="119">
        <f t="shared" si="108"/>
        <v>-453838.57331875002</v>
      </c>
      <c r="M282" s="119">
        <f t="shared" si="108"/>
        <v>-454006.55798500002</v>
      </c>
      <c r="N282" s="119">
        <f t="shared" si="108"/>
        <v>-453558.59887500003</v>
      </c>
      <c r="O282" s="119">
        <f t="shared" si="108"/>
        <v>-454006.55798500002</v>
      </c>
      <c r="P282" s="119">
        <f t="shared" si="108"/>
        <v>-453558.59887500003</v>
      </c>
      <c r="Q282" s="119">
        <f t="shared" si="108"/>
        <v>-3279786.2152662822</v>
      </c>
      <c r="R282" s="119">
        <f t="shared" si="108"/>
        <v>-4832287.8596785516</v>
      </c>
      <c r="S282" s="119">
        <f t="shared" si="108"/>
        <v>-2880894.4025196312</v>
      </c>
      <c r="T282" s="119">
        <f t="shared" si="108"/>
        <v>-1795730.5080117784</v>
      </c>
      <c r="U282" s="119">
        <f t="shared" si="108"/>
        <v>-1795730.5080117784</v>
      </c>
      <c r="V282" s="119">
        <f t="shared" si="108"/>
        <v>-981857.58713088918</v>
      </c>
      <c r="W282" s="119">
        <f t="shared" si="108"/>
        <v>-83992.333125000005</v>
      </c>
      <c r="X282" s="119">
        <f t="shared" si="108"/>
        <v>0</v>
      </c>
      <c r="Y282" s="119">
        <f t="shared" si="108"/>
        <v>0</v>
      </c>
      <c r="Z282" s="119">
        <f t="shared" si="108"/>
        <v>0</v>
      </c>
      <c r="AA282" s="119">
        <f t="shared" si="108"/>
        <v>0</v>
      </c>
      <c r="AB282" s="119">
        <f t="shared" si="108"/>
        <v>0</v>
      </c>
      <c r="AC282" s="119">
        <f t="shared" si="108"/>
        <v>0</v>
      </c>
      <c r="AD282" s="119">
        <f t="shared" si="108"/>
        <v>0</v>
      </c>
      <c r="AE282" s="119">
        <f t="shared" si="108"/>
        <v>0</v>
      </c>
      <c r="AF282" s="119">
        <f t="shared" si="108"/>
        <v>0</v>
      </c>
      <c r="AG282" s="119">
        <f t="shared" si="108"/>
        <v>0</v>
      </c>
      <c r="AH282" s="119">
        <f t="shared" si="108"/>
        <v>0</v>
      </c>
      <c r="AI282" s="119">
        <f t="shared" si="108"/>
        <v>0</v>
      </c>
      <c r="AJ282" s="119">
        <f t="shared" si="108"/>
        <v>0</v>
      </c>
      <c r="AK282" s="119">
        <f t="shared" si="108"/>
        <v>0</v>
      </c>
      <c r="AL282" s="119">
        <f t="shared" si="108"/>
        <v>0</v>
      </c>
      <c r="AM282" s="119">
        <f t="shared" si="108"/>
        <v>0</v>
      </c>
      <c r="AN282" s="119">
        <f t="shared" si="108"/>
        <v>0</v>
      </c>
      <c r="AO282" s="119">
        <f t="shared" si="108"/>
        <v>0</v>
      </c>
      <c r="AP282" s="119">
        <f t="shared" si="108"/>
        <v>0</v>
      </c>
    </row>
    <row r="283" spans="1:42" x14ac:dyDescent="0.2">
      <c r="A283" s="18" t="s">
        <v>292</v>
      </c>
      <c r="C283" s="119">
        <f t="shared" ref="C283:AP283" si="109">C277</f>
        <v>935949.67625842139</v>
      </c>
      <c r="D283" s="119">
        <f t="shared" si="109"/>
        <v>1674992.7407950198</v>
      </c>
      <c r="E283" s="119">
        <f t="shared" si="109"/>
        <v>908040.91854580643</v>
      </c>
      <c r="F283" s="119">
        <f t="shared" si="109"/>
        <v>448365.18395652366</v>
      </c>
      <c r="G283" s="119">
        <f t="shared" si="109"/>
        <v>449470.79990397632</v>
      </c>
      <c r="H283" s="119">
        <f t="shared" si="109"/>
        <v>105344.33972337724</v>
      </c>
      <c r="I283" s="119">
        <f t="shared" si="109"/>
        <v>-238228.9335139709</v>
      </c>
      <c r="J283" s="119">
        <f t="shared" si="109"/>
        <v>-235862.09202598169</v>
      </c>
      <c r="K283" s="119">
        <f t="shared" si="109"/>
        <v>-233358.54597980241</v>
      </c>
      <c r="L283" s="119">
        <f t="shared" si="109"/>
        <v>-230751.09634003413</v>
      </c>
      <c r="M283" s="119">
        <f t="shared" si="109"/>
        <v>-227989.45849594221</v>
      </c>
      <c r="N283" s="119">
        <f t="shared" si="109"/>
        <v>-225136.24267098968</v>
      </c>
      <c r="O283" s="119">
        <f t="shared" si="109"/>
        <v>-222082.91830022808</v>
      </c>
      <c r="P283" s="119">
        <f t="shared" si="109"/>
        <v>-218951.435396135</v>
      </c>
      <c r="Q283" s="119">
        <f t="shared" si="109"/>
        <v>-17807.530722808729</v>
      </c>
      <c r="R283" s="119">
        <f t="shared" si="109"/>
        <v>40746.970696942612</v>
      </c>
      <c r="S283" s="119">
        <f t="shared" si="109"/>
        <v>-91419.196128022522</v>
      </c>
      <c r="T283" s="119">
        <f t="shared" si="109"/>
        <v>-162794.38634474552</v>
      </c>
      <c r="U283" s="119">
        <f t="shared" si="109"/>
        <v>-158048.59838581947</v>
      </c>
      <c r="V283" s="119">
        <f t="shared" si="109"/>
        <v>-210111.12106945124</v>
      </c>
      <c r="W283" s="119">
        <f t="shared" si="109"/>
        <v>-267885.53297484835</v>
      </c>
      <c r="X283" s="119">
        <f t="shared" si="109"/>
        <v>-268517.79187812319</v>
      </c>
      <c r="Y283" s="119">
        <f t="shared" si="109"/>
        <v>-263095.26811580476</v>
      </c>
      <c r="Z283" s="119">
        <f t="shared" si="109"/>
        <v>-257493.75558824305</v>
      </c>
      <c r="AA283" s="119">
        <f t="shared" si="109"/>
        <v>-254081.33677171025</v>
      </c>
      <c r="AB283" s="119">
        <f t="shared" si="109"/>
        <v>0</v>
      </c>
      <c r="AC283" s="119">
        <f t="shared" si="109"/>
        <v>0</v>
      </c>
      <c r="AD283" s="119">
        <f t="shared" si="109"/>
        <v>0</v>
      </c>
      <c r="AE283" s="119">
        <f t="shared" si="109"/>
        <v>0</v>
      </c>
      <c r="AF283" s="119">
        <f t="shared" si="109"/>
        <v>0</v>
      </c>
      <c r="AG283" s="119">
        <f t="shared" si="109"/>
        <v>0</v>
      </c>
      <c r="AH283" s="119">
        <f t="shared" si="109"/>
        <v>0</v>
      </c>
      <c r="AI283" s="119">
        <f t="shared" si="109"/>
        <v>0</v>
      </c>
      <c r="AJ283" s="119">
        <f t="shared" si="109"/>
        <v>0</v>
      </c>
      <c r="AK283" s="119">
        <f t="shared" si="109"/>
        <v>0</v>
      </c>
      <c r="AL283" s="119">
        <f t="shared" si="109"/>
        <v>0</v>
      </c>
      <c r="AM283" s="119">
        <f t="shared" si="109"/>
        <v>0</v>
      </c>
      <c r="AN283" s="119">
        <f t="shared" si="109"/>
        <v>0</v>
      </c>
      <c r="AO283" s="119">
        <f t="shared" si="109"/>
        <v>0</v>
      </c>
      <c r="AP283" s="119">
        <f t="shared" si="109"/>
        <v>0</v>
      </c>
    </row>
    <row r="284" spans="1:42" x14ac:dyDescent="0.2">
      <c r="A284" s="18" t="s">
        <v>45</v>
      </c>
      <c r="C284" s="119">
        <f t="shared" ref="C284:AP284" si="110">C171</f>
        <v>0</v>
      </c>
      <c r="D284" s="119">
        <f t="shared" si="110"/>
        <v>0</v>
      </c>
      <c r="E284" s="119">
        <f t="shared" si="110"/>
        <v>0</v>
      </c>
      <c r="F284" s="119">
        <f t="shared" si="110"/>
        <v>0</v>
      </c>
      <c r="G284" s="119">
        <f t="shared" si="110"/>
        <v>0</v>
      </c>
      <c r="H284" s="119">
        <f t="shared" si="110"/>
        <v>0</v>
      </c>
      <c r="I284" s="119">
        <f t="shared" si="110"/>
        <v>0</v>
      </c>
      <c r="J284" s="119">
        <f t="shared" si="110"/>
        <v>0</v>
      </c>
      <c r="K284" s="119">
        <f t="shared" si="110"/>
        <v>0</v>
      </c>
      <c r="L284" s="119">
        <f t="shared" si="110"/>
        <v>0</v>
      </c>
      <c r="M284" s="119">
        <f t="shared" si="110"/>
        <v>0</v>
      </c>
      <c r="N284" s="119">
        <f t="shared" si="110"/>
        <v>0</v>
      </c>
      <c r="O284" s="119">
        <f t="shared" si="110"/>
        <v>0</v>
      </c>
      <c r="P284" s="119">
        <f t="shared" si="110"/>
        <v>0</v>
      </c>
      <c r="Q284" s="119">
        <f t="shared" si="110"/>
        <v>0</v>
      </c>
      <c r="R284" s="119">
        <f t="shared" si="110"/>
        <v>0</v>
      </c>
      <c r="S284" s="119">
        <f t="shared" si="110"/>
        <v>0</v>
      </c>
      <c r="T284" s="119">
        <f t="shared" si="110"/>
        <v>0</v>
      </c>
      <c r="U284" s="119">
        <f t="shared" si="110"/>
        <v>0</v>
      </c>
      <c r="V284" s="119">
        <f t="shared" si="110"/>
        <v>0</v>
      </c>
      <c r="W284" s="119">
        <f t="shared" si="110"/>
        <v>0</v>
      </c>
      <c r="X284" s="119">
        <f t="shared" si="110"/>
        <v>0</v>
      </c>
      <c r="Y284" s="119">
        <f t="shared" si="110"/>
        <v>0</v>
      </c>
      <c r="Z284" s="119">
        <f t="shared" si="110"/>
        <v>0</v>
      </c>
      <c r="AA284" s="119">
        <f t="shared" si="110"/>
        <v>0</v>
      </c>
      <c r="AB284" s="119">
        <f t="shared" si="110"/>
        <v>0</v>
      </c>
      <c r="AC284" s="119">
        <f t="shared" si="110"/>
        <v>0</v>
      </c>
      <c r="AD284" s="119">
        <f t="shared" si="110"/>
        <v>0</v>
      </c>
      <c r="AE284" s="119">
        <f t="shared" si="110"/>
        <v>0</v>
      </c>
      <c r="AF284" s="119">
        <f t="shared" si="110"/>
        <v>0</v>
      </c>
      <c r="AG284" s="119">
        <f t="shared" si="110"/>
        <v>0</v>
      </c>
      <c r="AH284" s="119">
        <f t="shared" si="110"/>
        <v>0</v>
      </c>
      <c r="AI284" s="119">
        <f t="shared" si="110"/>
        <v>0</v>
      </c>
      <c r="AJ284" s="119">
        <f t="shared" si="110"/>
        <v>0</v>
      </c>
      <c r="AK284" s="119">
        <f t="shared" si="110"/>
        <v>0</v>
      </c>
      <c r="AL284" s="119">
        <f t="shared" si="110"/>
        <v>0</v>
      </c>
      <c r="AM284" s="119">
        <f t="shared" si="110"/>
        <v>0</v>
      </c>
      <c r="AN284" s="119">
        <f t="shared" si="110"/>
        <v>0</v>
      </c>
      <c r="AO284" s="119">
        <f t="shared" si="110"/>
        <v>0</v>
      </c>
      <c r="AP284" s="119">
        <f t="shared" si="110"/>
        <v>0</v>
      </c>
    </row>
    <row r="285" spans="1:42" x14ac:dyDescent="0.2">
      <c r="A285" s="18" t="s">
        <v>83</v>
      </c>
      <c r="C285" s="120">
        <f t="shared" ref="C285:AP285" si="111">C175</f>
        <v>0</v>
      </c>
      <c r="D285" s="120">
        <f t="shared" si="111"/>
        <v>0</v>
      </c>
      <c r="E285" s="120">
        <f t="shared" si="111"/>
        <v>0</v>
      </c>
      <c r="F285" s="120">
        <f t="shared" si="111"/>
        <v>0</v>
      </c>
      <c r="G285" s="120">
        <f t="shared" si="111"/>
        <v>0</v>
      </c>
      <c r="H285" s="120">
        <f t="shared" si="111"/>
        <v>0</v>
      </c>
      <c r="I285" s="120">
        <f t="shared" si="111"/>
        <v>0</v>
      </c>
      <c r="J285" s="120">
        <f t="shared" si="111"/>
        <v>0</v>
      </c>
      <c r="K285" s="120">
        <f t="shared" si="111"/>
        <v>0</v>
      </c>
      <c r="L285" s="120">
        <f t="shared" si="111"/>
        <v>0</v>
      </c>
      <c r="M285" s="120">
        <f t="shared" si="111"/>
        <v>0</v>
      </c>
      <c r="N285" s="120">
        <f t="shared" si="111"/>
        <v>0</v>
      </c>
      <c r="O285" s="120">
        <f t="shared" si="111"/>
        <v>0</v>
      </c>
      <c r="P285" s="120">
        <f t="shared" si="111"/>
        <v>0</v>
      </c>
      <c r="Q285" s="120">
        <f t="shared" si="111"/>
        <v>0</v>
      </c>
      <c r="R285" s="120">
        <f t="shared" si="111"/>
        <v>0</v>
      </c>
      <c r="S285" s="120">
        <f t="shared" si="111"/>
        <v>0</v>
      </c>
      <c r="T285" s="120">
        <f t="shared" si="111"/>
        <v>0</v>
      </c>
      <c r="U285" s="120">
        <f t="shared" si="111"/>
        <v>0</v>
      </c>
      <c r="V285" s="120">
        <f t="shared" si="111"/>
        <v>0</v>
      </c>
      <c r="W285" s="120">
        <f t="shared" si="111"/>
        <v>0</v>
      </c>
      <c r="X285" s="120">
        <f t="shared" si="111"/>
        <v>0</v>
      </c>
      <c r="Y285" s="120">
        <f t="shared" si="111"/>
        <v>0</v>
      </c>
      <c r="Z285" s="120">
        <f t="shared" si="111"/>
        <v>0</v>
      </c>
      <c r="AA285" s="120">
        <f t="shared" si="111"/>
        <v>0</v>
      </c>
      <c r="AB285" s="120">
        <f t="shared" si="111"/>
        <v>0</v>
      </c>
      <c r="AC285" s="120">
        <f t="shared" si="111"/>
        <v>0</v>
      </c>
      <c r="AD285" s="120">
        <f t="shared" si="111"/>
        <v>0</v>
      </c>
      <c r="AE285" s="120">
        <f t="shared" si="111"/>
        <v>0</v>
      </c>
      <c r="AF285" s="120">
        <f t="shared" si="111"/>
        <v>0</v>
      </c>
      <c r="AG285" s="120">
        <f t="shared" si="111"/>
        <v>0</v>
      </c>
      <c r="AH285" s="120">
        <f t="shared" si="111"/>
        <v>0</v>
      </c>
      <c r="AI285" s="120">
        <f t="shared" si="111"/>
        <v>0</v>
      </c>
      <c r="AJ285" s="120">
        <f t="shared" si="111"/>
        <v>0</v>
      </c>
      <c r="AK285" s="120">
        <f t="shared" si="111"/>
        <v>0</v>
      </c>
      <c r="AL285" s="120">
        <f t="shared" si="111"/>
        <v>0</v>
      </c>
      <c r="AM285" s="120">
        <f t="shared" si="111"/>
        <v>0</v>
      </c>
      <c r="AN285" s="120">
        <f t="shared" si="111"/>
        <v>0</v>
      </c>
      <c r="AO285" s="120">
        <f t="shared" si="111"/>
        <v>0</v>
      </c>
      <c r="AP285" s="120">
        <f t="shared" si="111"/>
        <v>0</v>
      </c>
    </row>
    <row r="286" spans="1:42" x14ac:dyDescent="0.2">
      <c r="A286" s="18" t="s">
        <v>288</v>
      </c>
      <c r="C286" s="119">
        <f>SUM(C280:C285)</f>
        <v>-12434759.984576171</v>
      </c>
      <c r="D286" s="119">
        <f t="shared" ref="D286:AP286" si="112">SUM(D280:D285)</f>
        <v>-22253474.984848123</v>
      </c>
      <c r="E286" s="119">
        <f t="shared" si="112"/>
        <v>-12063972.203537142</v>
      </c>
      <c r="F286" s="119">
        <f t="shared" si="112"/>
        <v>-5956851.7297081007</v>
      </c>
      <c r="G286" s="119">
        <f t="shared" si="112"/>
        <v>-5971540.627295685</v>
      </c>
      <c r="H286" s="119">
        <f t="shared" si="112"/>
        <v>-1399574.799182012</v>
      </c>
      <c r="I286" s="119">
        <f t="shared" si="112"/>
        <v>3165041.5452570417</v>
      </c>
      <c r="J286" s="119">
        <f t="shared" si="112"/>
        <v>3133596.3654880426</v>
      </c>
      <c r="K286" s="119">
        <f t="shared" si="112"/>
        <v>3100334.9680173751</v>
      </c>
      <c r="L286" s="119">
        <f t="shared" si="112"/>
        <v>3065693.1370890248</v>
      </c>
      <c r="M286" s="119">
        <f t="shared" si="112"/>
        <v>3029002.8057318032</v>
      </c>
      <c r="N286" s="119">
        <f t="shared" si="112"/>
        <v>2991095.7954860055</v>
      </c>
      <c r="O286" s="119">
        <f t="shared" si="112"/>
        <v>2950530.2002744586</v>
      </c>
      <c r="P286" s="119">
        <f t="shared" si="112"/>
        <v>2908926.2131200796</v>
      </c>
      <c r="Q286" s="119">
        <f t="shared" si="112"/>
        <v>236585.76531731599</v>
      </c>
      <c r="R286" s="119">
        <f t="shared" si="112"/>
        <v>-541352.61068795179</v>
      </c>
      <c r="S286" s="119">
        <f t="shared" si="112"/>
        <v>1214569.3199865848</v>
      </c>
      <c r="T286" s="119">
        <f t="shared" si="112"/>
        <v>2162839.7042944767</v>
      </c>
      <c r="U286" s="119">
        <f t="shared" si="112"/>
        <v>2099788.5214116015</v>
      </c>
      <c r="V286" s="119">
        <f t="shared" si="112"/>
        <v>2791476.322779852</v>
      </c>
      <c r="W286" s="119">
        <f t="shared" si="112"/>
        <v>3559050.6523801279</v>
      </c>
      <c r="X286" s="119">
        <f t="shared" si="112"/>
        <v>3567450.6635236363</v>
      </c>
      <c r="Y286" s="119">
        <f t="shared" si="112"/>
        <v>3495408.5621099779</v>
      </c>
      <c r="Z286" s="119">
        <f t="shared" si="112"/>
        <v>3420988.467100943</v>
      </c>
      <c r="AA286" s="119">
        <f t="shared" si="112"/>
        <v>3375652.0456812931</v>
      </c>
      <c r="AB286" s="119">
        <f t="shared" si="112"/>
        <v>0</v>
      </c>
      <c r="AC286" s="119">
        <f t="shared" si="112"/>
        <v>0</v>
      </c>
      <c r="AD286" s="119">
        <f t="shared" si="112"/>
        <v>0</v>
      </c>
      <c r="AE286" s="119">
        <f t="shared" si="112"/>
        <v>0</v>
      </c>
      <c r="AF286" s="119">
        <f t="shared" si="112"/>
        <v>0</v>
      </c>
      <c r="AG286" s="119">
        <f t="shared" si="112"/>
        <v>0</v>
      </c>
      <c r="AH286" s="119">
        <f t="shared" si="112"/>
        <v>0</v>
      </c>
      <c r="AI286" s="119">
        <f t="shared" si="112"/>
        <v>0</v>
      </c>
      <c r="AJ286" s="119">
        <f t="shared" si="112"/>
        <v>0</v>
      </c>
      <c r="AK286" s="119">
        <f t="shared" si="112"/>
        <v>0</v>
      </c>
      <c r="AL286" s="119">
        <f t="shared" si="112"/>
        <v>0</v>
      </c>
      <c r="AM286" s="119">
        <f t="shared" si="112"/>
        <v>0</v>
      </c>
      <c r="AN286" s="119">
        <f t="shared" si="112"/>
        <v>0</v>
      </c>
      <c r="AO286" s="119">
        <f t="shared" si="112"/>
        <v>0</v>
      </c>
      <c r="AP286" s="119">
        <f t="shared" si="112"/>
        <v>0</v>
      </c>
    </row>
    <row r="287" spans="1:42" x14ac:dyDescent="0.2">
      <c r="A287" s="18" t="s">
        <v>347</v>
      </c>
      <c r="C287" s="119"/>
    </row>
    <row r="288" spans="1:42" x14ac:dyDescent="0.2">
      <c r="A288" s="87" t="s">
        <v>129</v>
      </c>
      <c r="C288" s="119"/>
    </row>
    <row r="289" spans="1:42" x14ac:dyDescent="0.2">
      <c r="A289" s="22" t="s">
        <v>4</v>
      </c>
      <c r="C289" s="119">
        <f>IF(ibi_fed_amount_tax_fed="Yes",C614,0)</f>
        <v>0</v>
      </c>
    </row>
    <row r="290" spans="1:42" x14ac:dyDescent="0.2">
      <c r="A290" s="22" t="s">
        <v>5</v>
      </c>
      <c r="C290" s="119">
        <f>IF(ibi_sta_amount_tax_fed="Yes",C615,0)</f>
        <v>0</v>
      </c>
    </row>
    <row r="291" spans="1:42" x14ac:dyDescent="0.2">
      <c r="A291" s="22" t="s">
        <v>162</v>
      </c>
      <c r="C291" s="119">
        <f>IF(ibi_uti_amount_tax_fed="Yes",C616,0)</f>
        <v>0</v>
      </c>
    </row>
    <row r="292" spans="1:42" x14ac:dyDescent="0.2">
      <c r="A292" s="22" t="s">
        <v>163</v>
      </c>
      <c r="C292" s="120">
        <f>IF(ibi_oth_amount_tax_fed="Yes",C617,0)</f>
        <v>0</v>
      </c>
    </row>
    <row r="293" spans="1:42" x14ac:dyDescent="0.2">
      <c r="A293" s="22" t="s">
        <v>13</v>
      </c>
      <c r="C293" s="119">
        <f>SUM(C289:C292)</f>
        <v>0</v>
      </c>
    </row>
    <row r="294" spans="1:42" x14ac:dyDescent="0.2">
      <c r="A294" s="87" t="s">
        <v>134</v>
      </c>
      <c r="C294" s="119"/>
    </row>
    <row r="295" spans="1:42" x14ac:dyDescent="0.2">
      <c r="A295" s="22" t="s">
        <v>4</v>
      </c>
      <c r="C295" s="119">
        <f>IF(ibi_fed_percent_tax_fed="Yes",C620,0)</f>
        <v>0</v>
      </c>
    </row>
    <row r="296" spans="1:42" x14ac:dyDescent="0.2">
      <c r="A296" s="22" t="s">
        <v>5</v>
      </c>
      <c r="C296" s="119">
        <f>IF(ibi_sta_percent_tax_fed="Yes",C621,0)</f>
        <v>0</v>
      </c>
    </row>
    <row r="297" spans="1:42" x14ac:dyDescent="0.2">
      <c r="A297" s="22" t="s">
        <v>162</v>
      </c>
      <c r="C297" s="119">
        <f>IF(ibi_uti_percent_tax_fed="Yes",C622,0)</f>
        <v>0</v>
      </c>
    </row>
    <row r="298" spans="1:42" x14ac:dyDescent="0.2">
      <c r="A298" s="22" t="s">
        <v>163</v>
      </c>
      <c r="C298" s="120">
        <f>IF(ibi_oth_percent_tax_fed="Yes",C623,0)</f>
        <v>0</v>
      </c>
    </row>
    <row r="299" spans="1:42" x14ac:dyDescent="0.2">
      <c r="A299" s="22" t="s">
        <v>13</v>
      </c>
      <c r="C299" s="119">
        <f>SUM(C295:C298)</f>
        <v>0</v>
      </c>
    </row>
    <row r="300" spans="1:42" x14ac:dyDescent="0.2">
      <c r="A300" s="18" t="s">
        <v>335</v>
      </c>
      <c r="C300" s="119"/>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row>
    <row r="301" spans="1:42" x14ac:dyDescent="0.2">
      <c r="A301" s="22" t="s">
        <v>4</v>
      </c>
      <c r="C301" s="119">
        <f>IF(cbi_fed_tax_fed="Yes",C628,0)</f>
        <v>0</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row>
    <row r="302" spans="1:42" x14ac:dyDescent="0.2">
      <c r="A302" s="22" t="s">
        <v>5</v>
      </c>
      <c r="C302" s="119">
        <f>IF(cbi_sta_tax_fed="Yes",C629,0)</f>
        <v>0</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row>
    <row r="303" spans="1:42" x14ac:dyDescent="0.2">
      <c r="A303" s="22" t="s">
        <v>162</v>
      </c>
      <c r="C303" s="119">
        <f>IF(cbi_uti_tax_sta="Yes",C630,0)</f>
        <v>0</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row>
    <row r="304" spans="1:42" x14ac:dyDescent="0.2">
      <c r="A304" s="22" t="s">
        <v>163</v>
      </c>
      <c r="C304" s="120">
        <f>IF(cbi_oth_tax_sta="Yes",C631,0)</f>
        <v>0</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row>
    <row r="305" spans="1:42" x14ac:dyDescent="0.2">
      <c r="A305" s="22" t="s">
        <v>13</v>
      </c>
      <c r="C305" s="119">
        <f>SUM(C301:C304)</f>
        <v>0</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row>
    <row r="306" spans="1:42" x14ac:dyDescent="0.2">
      <c r="A306" s="18" t="s">
        <v>289</v>
      </c>
      <c r="C306" s="120">
        <f>C293+C299+C305</f>
        <v>0</v>
      </c>
      <c r="D306" s="120">
        <f t="shared" ref="D306:AP306" si="113">D293+D299+D305</f>
        <v>0</v>
      </c>
      <c r="E306" s="120">
        <f t="shared" si="113"/>
        <v>0</v>
      </c>
      <c r="F306" s="120">
        <f t="shared" si="113"/>
        <v>0</v>
      </c>
      <c r="G306" s="120">
        <f t="shared" si="113"/>
        <v>0</v>
      </c>
      <c r="H306" s="120">
        <f t="shared" si="113"/>
        <v>0</v>
      </c>
      <c r="I306" s="120">
        <f t="shared" si="113"/>
        <v>0</v>
      </c>
      <c r="J306" s="120">
        <f t="shared" si="113"/>
        <v>0</v>
      </c>
      <c r="K306" s="120">
        <f t="shared" si="113"/>
        <v>0</v>
      </c>
      <c r="L306" s="120">
        <f t="shared" si="113"/>
        <v>0</v>
      </c>
      <c r="M306" s="120">
        <f t="shared" si="113"/>
        <v>0</v>
      </c>
      <c r="N306" s="120">
        <f t="shared" si="113"/>
        <v>0</v>
      </c>
      <c r="O306" s="120">
        <f t="shared" si="113"/>
        <v>0</v>
      </c>
      <c r="P306" s="120">
        <f t="shared" si="113"/>
        <v>0</v>
      </c>
      <c r="Q306" s="120">
        <f t="shared" si="113"/>
        <v>0</v>
      </c>
      <c r="R306" s="120">
        <f t="shared" si="113"/>
        <v>0</v>
      </c>
      <c r="S306" s="120">
        <f t="shared" si="113"/>
        <v>0</v>
      </c>
      <c r="T306" s="120">
        <f t="shared" si="113"/>
        <v>0</v>
      </c>
      <c r="U306" s="120">
        <f t="shared" si="113"/>
        <v>0</v>
      </c>
      <c r="V306" s="120">
        <f t="shared" si="113"/>
        <v>0</v>
      </c>
      <c r="W306" s="120">
        <f t="shared" si="113"/>
        <v>0</v>
      </c>
      <c r="X306" s="120">
        <f t="shared" si="113"/>
        <v>0</v>
      </c>
      <c r="Y306" s="120">
        <f t="shared" si="113"/>
        <v>0</v>
      </c>
      <c r="Z306" s="120">
        <f t="shared" si="113"/>
        <v>0</v>
      </c>
      <c r="AA306" s="120">
        <f t="shared" si="113"/>
        <v>0</v>
      </c>
      <c r="AB306" s="120">
        <f t="shared" si="113"/>
        <v>0</v>
      </c>
      <c r="AC306" s="120">
        <f t="shared" si="113"/>
        <v>0</v>
      </c>
      <c r="AD306" s="120">
        <f t="shared" si="113"/>
        <v>0</v>
      </c>
      <c r="AE306" s="120">
        <f t="shared" si="113"/>
        <v>0</v>
      </c>
      <c r="AF306" s="120">
        <f t="shared" si="113"/>
        <v>0</v>
      </c>
      <c r="AG306" s="120">
        <f t="shared" si="113"/>
        <v>0</v>
      </c>
      <c r="AH306" s="120">
        <f t="shared" si="113"/>
        <v>0</v>
      </c>
      <c r="AI306" s="120">
        <f t="shared" si="113"/>
        <v>0</v>
      </c>
      <c r="AJ306" s="120">
        <f t="shared" si="113"/>
        <v>0</v>
      </c>
      <c r="AK306" s="120">
        <f t="shared" si="113"/>
        <v>0</v>
      </c>
      <c r="AL306" s="120">
        <f t="shared" si="113"/>
        <v>0</v>
      </c>
      <c r="AM306" s="120">
        <f t="shared" si="113"/>
        <v>0</v>
      </c>
      <c r="AN306" s="120">
        <f t="shared" si="113"/>
        <v>0</v>
      </c>
      <c r="AO306" s="120">
        <f t="shared" si="113"/>
        <v>0</v>
      </c>
      <c r="AP306" s="120">
        <f t="shared" si="113"/>
        <v>0</v>
      </c>
    </row>
    <row r="307" spans="1:42" x14ac:dyDescent="0.2">
      <c r="A307" s="18" t="s">
        <v>287</v>
      </c>
      <c r="C307" s="119">
        <f>C286+C306</f>
        <v>-12434759.984576171</v>
      </c>
      <c r="D307" s="119">
        <f t="shared" ref="D307:AP307" si="114">D286+D306</f>
        <v>-22253474.984848123</v>
      </c>
      <c r="E307" s="119">
        <f t="shared" si="114"/>
        <v>-12063972.203537142</v>
      </c>
      <c r="F307" s="119">
        <f t="shared" si="114"/>
        <v>-5956851.7297081007</v>
      </c>
      <c r="G307" s="119">
        <f t="shared" si="114"/>
        <v>-5971540.627295685</v>
      </c>
      <c r="H307" s="119">
        <f t="shared" si="114"/>
        <v>-1399574.799182012</v>
      </c>
      <c r="I307" s="119">
        <f t="shared" si="114"/>
        <v>3165041.5452570417</v>
      </c>
      <c r="J307" s="119">
        <f t="shared" si="114"/>
        <v>3133596.3654880426</v>
      </c>
      <c r="K307" s="119">
        <f t="shared" si="114"/>
        <v>3100334.9680173751</v>
      </c>
      <c r="L307" s="119">
        <f t="shared" si="114"/>
        <v>3065693.1370890248</v>
      </c>
      <c r="M307" s="119">
        <f t="shared" si="114"/>
        <v>3029002.8057318032</v>
      </c>
      <c r="N307" s="119">
        <f t="shared" si="114"/>
        <v>2991095.7954860055</v>
      </c>
      <c r="O307" s="119">
        <f t="shared" si="114"/>
        <v>2950530.2002744586</v>
      </c>
      <c r="P307" s="119">
        <f t="shared" si="114"/>
        <v>2908926.2131200796</v>
      </c>
      <c r="Q307" s="119">
        <f t="shared" si="114"/>
        <v>236585.76531731599</v>
      </c>
      <c r="R307" s="119">
        <f t="shared" si="114"/>
        <v>-541352.61068795179</v>
      </c>
      <c r="S307" s="119">
        <f t="shared" si="114"/>
        <v>1214569.3199865848</v>
      </c>
      <c r="T307" s="119">
        <f t="shared" si="114"/>
        <v>2162839.7042944767</v>
      </c>
      <c r="U307" s="119">
        <f t="shared" si="114"/>
        <v>2099788.5214116015</v>
      </c>
      <c r="V307" s="119">
        <f t="shared" si="114"/>
        <v>2791476.322779852</v>
      </c>
      <c r="W307" s="119">
        <f t="shared" si="114"/>
        <v>3559050.6523801279</v>
      </c>
      <c r="X307" s="119">
        <f t="shared" si="114"/>
        <v>3567450.6635236363</v>
      </c>
      <c r="Y307" s="119">
        <f t="shared" si="114"/>
        <v>3495408.5621099779</v>
      </c>
      <c r="Z307" s="119">
        <f t="shared" si="114"/>
        <v>3420988.467100943</v>
      </c>
      <c r="AA307" s="119">
        <f t="shared" si="114"/>
        <v>3375652.0456812931</v>
      </c>
      <c r="AB307" s="119">
        <f t="shared" si="114"/>
        <v>0</v>
      </c>
      <c r="AC307" s="119">
        <f t="shared" si="114"/>
        <v>0</v>
      </c>
      <c r="AD307" s="119">
        <f t="shared" si="114"/>
        <v>0</v>
      </c>
      <c r="AE307" s="119">
        <f t="shared" si="114"/>
        <v>0</v>
      </c>
      <c r="AF307" s="119">
        <f t="shared" si="114"/>
        <v>0</v>
      </c>
      <c r="AG307" s="119">
        <f t="shared" si="114"/>
        <v>0</v>
      </c>
      <c r="AH307" s="119">
        <f t="shared" si="114"/>
        <v>0</v>
      </c>
      <c r="AI307" s="119">
        <f t="shared" si="114"/>
        <v>0</v>
      </c>
      <c r="AJ307" s="119">
        <f t="shared" si="114"/>
        <v>0</v>
      </c>
      <c r="AK307" s="119">
        <f t="shared" si="114"/>
        <v>0</v>
      </c>
      <c r="AL307" s="119">
        <f t="shared" si="114"/>
        <v>0</v>
      </c>
      <c r="AM307" s="119">
        <f t="shared" si="114"/>
        <v>0</v>
      </c>
      <c r="AN307" s="119">
        <f t="shared" si="114"/>
        <v>0</v>
      </c>
      <c r="AO307" s="119">
        <f t="shared" si="114"/>
        <v>0</v>
      </c>
      <c r="AP307" s="119">
        <f t="shared" si="114"/>
        <v>0</v>
      </c>
    </row>
    <row r="308" spans="1:42" x14ac:dyDescent="0.2">
      <c r="A308" s="18" t="s">
        <v>290</v>
      </c>
      <c r="C308" s="119">
        <f t="array" ref="C308:AP308">Inputs!D157:AQ157</f>
        <v>21</v>
      </c>
      <c r="D308" s="119">
        <v>21</v>
      </c>
      <c r="E308" s="119">
        <v>21</v>
      </c>
      <c r="F308" s="119">
        <v>21</v>
      </c>
      <c r="G308" s="119">
        <v>21</v>
      </c>
      <c r="H308" s="119">
        <v>21</v>
      </c>
      <c r="I308" s="119">
        <v>21</v>
      </c>
      <c r="J308" s="119">
        <v>21</v>
      </c>
      <c r="K308" s="119">
        <v>21</v>
      </c>
      <c r="L308" s="119">
        <v>21</v>
      </c>
      <c r="M308" s="119">
        <v>21</v>
      </c>
      <c r="N308" s="119">
        <v>21</v>
      </c>
      <c r="O308" s="119">
        <v>21</v>
      </c>
      <c r="P308" s="119">
        <v>21</v>
      </c>
      <c r="Q308" s="119">
        <v>21</v>
      </c>
      <c r="R308" s="119">
        <v>21</v>
      </c>
      <c r="S308" s="119">
        <v>21</v>
      </c>
      <c r="T308" s="119">
        <v>21</v>
      </c>
      <c r="U308" s="119">
        <v>21</v>
      </c>
      <c r="V308" s="119">
        <v>21</v>
      </c>
      <c r="W308" s="119">
        <v>21</v>
      </c>
      <c r="X308" s="119">
        <v>21</v>
      </c>
      <c r="Y308" s="119">
        <v>21</v>
      </c>
      <c r="Z308" s="119">
        <v>21</v>
      </c>
      <c r="AA308" s="119">
        <v>21</v>
      </c>
      <c r="AB308" s="119">
        <v>0</v>
      </c>
      <c r="AC308" s="119">
        <v>0</v>
      </c>
      <c r="AD308" s="119">
        <v>0</v>
      </c>
      <c r="AE308" s="119">
        <v>0</v>
      </c>
      <c r="AF308" s="119">
        <v>0</v>
      </c>
      <c r="AG308" s="119">
        <v>0</v>
      </c>
      <c r="AH308" s="119">
        <v>0</v>
      </c>
      <c r="AI308" s="119">
        <v>0</v>
      </c>
      <c r="AJ308" s="119">
        <v>0</v>
      </c>
      <c r="AK308" s="119">
        <v>0</v>
      </c>
      <c r="AL308" s="119">
        <v>0</v>
      </c>
      <c r="AM308" s="119">
        <v>0</v>
      </c>
      <c r="AN308" s="119">
        <v>0</v>
      </c>
      <c r="AO308" s="119">
        <v>0</v>
      </c>
      <c r="AP308" s="119">
        <v>0</v>
      </c>
    </row>
    <row r="309" spans="1:42" x14ac:dyDescent="0.2">
      <c r="A309" s="205" t="s">
        <v>293</v>
      </c>
      <c r="B309" s="30"/>
      <c r="C309" s="137">
        <f>C307*-C308/100</f>
        <v>2611299.5967609962</v>
      </c>
      <c r="D309" s="137">
        <f t="shared" ref="D309:AP309" si="115">D307*-D308/100</f>
        <v>4673229.7468181057</v>
      </c>
      <c r="E309" s="137">
        <f t="shared" si="115"/>
        <v>2533434.1627427996</v>
      </c>
      <c r="F309" s="137">
        <f t="shared" si="115"/>
        <v>1250938.8632387011</v>
      </c>
      <c r="G309" s="137">
        <f t="shared" si="115"/>
        <v>1254023.5317320938</v>
      </c>
      <c r="H309" s="137">
        <f t="shared" si="115"/>
        <v>293910.70782822254</v>
      </c>
      <c r="I309" s="137">
        <f t="shared" si="115"/>
        <v>-664658.72450397874</v>
      </c>
      <c r="J309" s="137">
        <f t="shared" si="115"/>
        <v>-658055.23675248888</v>
      </c>
      <c r="K309" s="137">
        <f t="shared" si="115"/>
        <v>-651070.34328364884</v>
      </c>
      <c r="L309" s="137">
        <f t="shared" si="115"/>
        <v>-643795.55878869514</v>
      </c>
      <c r="M309" s="137">
        <f t="shared" si="115"/>
        <v>-636090.58920367865</v>
      </c>
      <c r="N309" s="137">
        <f t="shared" si="115"/>
        <v>-628130.11705206113</v>
      </c>
      <c r="O309" s="137">
        <f t="shared" si="115"/>
        <v>-619611.34205763636</v>
      </c>
      <c r="P309" s="137">
        <f t="shared" si="115"/>
        <v>-610874.50475521665</v>
      </c>
      <c r="Q309" s="137">
        <f t="shared" si="115"/>
        <v>-49683.01071663636</v>
      </c>
      <c r="R309" s="137">
        <f t="shared" si="115"/>
        <v>113684.04824446987</v>
      </c>
      <c r="S309" s="137">
        <f t="shared" si="115"/>
        <v>-255059.55719718282</v>
      </c>
      <c r="T309" s="137">
        <f t="shared" si="115"/>
        <v>-454196.33790184004</v>
      </c>
      <c r="U309" s="137">
        <f t="shared" si="115"/>
        <v>-440955.5894964363</v>
      </c>
      <c r="V309" s="137">
        <f t="shared" si="115"/>
        <v>-586210.02778376895</v>
      </c>
      <c r="W309" s="137">
        <f t="shared" si="115"/>
        <v>-747400.63699982688</v>
      </c>
      <c r="X309" s="137">
        <f t="shared" si="115"/>
        <v>-749164.63933996367</v>
      </c>
      <c r="Y309" s="137">
        <f t="shared" si="115"/>
        <v>-734035.79804309527</v>
      </c>
      <c r="Z309" s="137">
        <f t="shared" si="115"/>
        <v>-718407.57809119811</v>
      </c>
      <c r="AA309" s="137">
        <f t="shared" si="115"/>
        <v>-708886.92959307146</v>
      </c>
      <c r="AB309" s="137">
        <f t="shared" si="115"/>
        <v>0</v>
      </c>
      <c r="AC309" s="137">
        <f t="shared" si="115"/>
        <v>0</v>
      </c>
      <c r="AD309" s="137">
        <f t="shared" si="115"/>
        <v>0</v>
      </c>
      <c r="AE309" s="137">
        <f t="shared" si="115"/>
        <v>0</v>
      </c>
      <c r="AF309" s="137">
        <f t="shared" si="115"/>
        <v>0</v>
      </c>
      <c r="AG309" s="137">
        <f t="shared" si="115"/>
        <v>0</v>
      </c>
      <c r="AH309" s="137">
        <f t="shared" si="115"/>
        <v>0</v>
      </c>
      <c r="AI309" s="137">
        <f t="shared" si="115"/>
        <v>0</v>
      </c>
      <c r="AJ309" s="137">
        <f t="shared" si="115"/>
        <v>0</v>
      </c>
      <c r="AK309" s="137">
        <f t="shared" si="115"/>
        <v>0</v>
      </c>
      <c r="AL309" s="137">
        <f t="shared" si="115"/>
        <v>0</v>
      </c>
      <c r="AM309" s="137">
        <f t="shared" si="115"/>
        <v>0</v>
      </c>
      <c r="AN309" s="137">
        <f t="shared" si="115"/>
        <v>0</v>
      </c>
      <c r="AO309" s="137">
        <f t="shared" si="115"/>
        <v>0</v>
      </c>
      <c r="AP309" s="137">
        <f t="shared" si="115"/>
        <v>0</v>
      </c>
    </row>
    <row r="310" spans="1:42" x14ac:dyDescent="0.2">
      <c r="A310" s="22"/>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row>
    <row r="311" spans="1:42" x14ac:dyDescent="0.2">
      <c r="A311" s="82" t="s">
        <v>443</v>
      </c>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row>
    <row r="312" spans="1:42" x14ac:dyDescent="0.2">
      <c r="A312" s="20" t="s">
        <v>81</v>
      </c>
    </row>
    <row r="313" spans="1:42" x14ac:dyDescent="0.2">
      <c r="A313" s="4" t="s">
        <v>197</v>
      </c>
      <c r="G313" s="360" t="s">
        <v>51</v>
      </c>
      <c r="H313" s="361"/>
      <c r="I313" s="361"/>
      <c r="J313" s="362"/>
      <c r="K313" s="363" t="s">
        <v>52</v>
      </c>
      <c r="L313" s="364"/>
    </row>
    <row r="314" spans="1:42" ht="51" x14ac:dyDescent="0.2">
      <c r="B314" s="14" t="s">
        <v>41</v>
      </c>
      <c r="C314" s="14" t="s">
        <v>37</v>
      </c>
      <c r="D314" s="14" t="s">
        <v>39</v>
      </c>
      <c r="E314" s="24" t="s">
        <v>40</v>
      </c>
      <c r="F314" s="14" t="s">
        <v>42</v>
      </c>
      <c r="G314" s="14" t="s">
        <v>46</v>
      </c>
      <c r="H314" s="14" t="s">
        <v>48</v>
      </c>
      <c r="I314" s="52" t="s">
        <v>47</v>
      </c>
      <c r="J314" s="14" t="s">
        <v>49</v>
      </c>
      <c r="K314" s="14" t="s">
        <v>47</v>
      </c>
      <c r="L314" s="140" t="s">
        <v>49</v>
      </c>
      <c r="M314" s="25" t="s">
        <v>53</v>
      </c>
      <c r="N314" s="25" t="s">
        <v>54</v>
      </c>
      <c r="O314" s="14" t="s">
        <v>43</v>
      </c>
      <c r="P314" s="139" t="s">
        <v>73</v>
      </c>
      <c r="Q314" s="14" t="s">
        <v>74</v>
      </c>
    </row>
    <row r="315" spans="1:42" x14ac:dyDescent="0.2">
      <c r="A315" s="22" t="str">
        <f>Inputs!B127</f>
        <v>5-yr MACRS</v>
      </c>
      <c r="B315" s="208">
        <f>IF(Inputs!$C$135=0,0,depr_alloc_macrs_5_percent*100/Inputs!$C$135)</f>
        <v>92.783505154639172</v>
      </c>
      <c r="C315" s="119">
        <f>$B$76*depr_alloc_macrs_5_percent/100</f>
        <v>100790799.75</v>
      </c>
      <c r="D315" s="119">
        <f t="shared" ref="D315:E321" si="116">$B315/100*D$322</f>
        <v>0</v>
      </c>
      <c r="E315" s="119">
        <f t="shared" si="116"/>
        <v>0</v>
      </c>
      <c r="F315" s="121">
        <f>C315-D315-E315</f>
        <v>100790799.75</v>
      </c>
      <c r="G315" s="122">
        <f>IF(depr_itc_sta_macrs_5="Yes",F315,0)</f>
        <v>100790799.75</v>
      </c>
      <c r="H315" s="129">
        <f t="shared" ref="H315:H321" si="117">IF($G$322=0,0,G315/$G$322)*100</f>
        <v>100</v>
      </c>
      <c r="I315" s="125">
        <f t="shared" ref="I315:I321" si="118">$I$322*H315/100</f>
        <v>0</v>
      </c>
      <c r="J315" s="126">
        <f>I315*0.5</f>
        <v>0</v>
      </c>
      <c r="K315" s="123">
        <f t="shared" ref="K315:K321" si="119">H315/100*$K$322</f>
        <v>0</v>
      </c>
      <c r="L315" s="126">
        <f>K315*0.5</f>
        <v>0</v>
      </c>
      <c r="M315" s="119">
        <f>IF(itc_sta_amount_deprbas_sta="Yes",L315,0)+IF(itc_sta_percent_deprbas_sta="Yes",J315,0)</f>
        <v>0</v>
      </c>
      <c r="N315" s="119">
        <f t="shared" ref="N315:N320" si="120">IF(itc_fed_amount_deprbas_sta="Yes",L451,0)+IF(itc_fed_percent_deprbas_sta="Yes",J451,0)</f>
        <v>15118619.962499999</v>
      </c>
      <c r="O315" s="127">
        <f t="shared" ref="O315:O319" si="121">F315-M315-N315</f>
        <v>85672179.787499994</v>
      </c>
      <c r="P315" s="119">
        <f>IF(depr_bonus_sta_macrs_5="Yes",O315*depr_bonus_sta/100,0)</f>
        <v>0</v>
      </c>
      <c r="Q315" s="121">
        <f>O315-P315</f>
        <v>85672179.787499994</v>
      </c>
    </row>
    <row r="316" spans="1:42" x14ac:dyDescent="0.2">
      <c r="A316" s="22" t="str">
        <f>Inputs!B128</f>
        <v>15-yr MACRS</v>
      </c>
      <c r="B316" s="208">
        <f>IF(Inputs!$C$135=0,0,depr_alloc_macrs_15_percent*100/Inputs!$C$135)</f>
        <v>1.5463917525773196</v>
      </c>
      <c r="C316" s="119">
        <f>$B$76*depr_alloc_macrs_15_percent/100</f>
        <v>1679846.6625000001</v>
      </c>
      <c r="D316" s="119">
        <f t="shared" si="116"/>
        <v>0</v>
      </c>
      <c r="E316" s="119">
        <f t="shared" si="116"/>
        <v>0</v>
      </c>
      <c r="F316" s="121">
        <f t="shared" ref="F316:F320" si="122">C316-D316-E316</f>
        <v>1679846.6625000001</v>
      </c>
      <c r="G316" s="123">
        <f>IF(depr_itc_sta_macrs_15="Yes",F316,0)</f>
        <v>0</v>
      </c>
      <c r="H316" s="130">
        <f t="shared" si="117"/>
        <v>0</v>
      </c>
      <c r="I316" s="119">
        <f t="shared" si="118"/>
        <v>0</v>
      </c>
      <c r="J316" s="128">
        <f t="shared" ref="J316:J321" si="123">I316*0.5</f>
        <v>0</v>
      </c>
      <c r="K316" s="123">
        <f t="shared" si="119"/>
        <v>0</v>
      </c>
      <c r="L316" s="128">
        <f t="shared" ref="L316:L321" si="124">K316*0.5</f>
        <v>0</v>
      </c>
      <c r="M316" s="119">
        <f t="shared" ref="M316:M319" si="125">IF(itc_sta_amount_deprbas_sta="Yes",L316,0)+IF(itc_sta_percent_deprbas_sta="Yes",J316,0)</f>
        <v>0</v>
      </c>
      <c r="N316" s="119">
        <f t="shared" si="120"/>
        <v>0</v>
      </c>
      <c r="O316" s="121">
        <f t="shared" si="121"/>
        <v>1679846.6625000001</v>
      </c>
      <c r="P316" s="119">
        <f>IF(depr_bonus_sta_macrs_15="Yes",O316*depr_bonus_sta/100,0)</f>
        <v>0</v>
      </c>
      <c r="Q316" s="121">
        <f t="shared" ref="Q316:Q319" si="126">O316-P316</f>
        <v>1679846.6625000001</v>
      </c>
    </row>
    <row r="317" spans="1:42" x14ac:dyDescent="0.2">
      <c r="A317" s="22" t="str">
        <f>Inputs!B129</f>
        <v>5-yr SL</v>
      </c>
      <c r="B317" s="208">
        <f>IF(Inputs!$C$135=0,0,depr_alloc_sl_5_percent*100/Inputs!$C$135)</f>
        <v>0</v>
      </c>
      <c r="C317" s="119">
        <f>$B$76*depr_alloc_sl_5_percent/100</f>
        <v>0</v>
      </c>
      <c r="D317" s="119">
        <f t="shared" si="116"/>
        <v>0</v>
      </c>
      <c r="E317" s="119">
        <f t="shared" si="116"/>
        <v>0</v>
      </c>
      <c r="F317" s="121">
        <f t="shared" si="122"/>
        <v>0</v>
      </c>
      <c r="G317" s="123">
        <f>IF(depr_itc_sta_sl_5="Yes",F317,0)</f>
        <v>0</v>
      </c>
      <c r="H317" s="130">
        <f t="shared" si="117"/>
        <v>0</v>
      </c>
      <c r="I317" s="119">
        <f t="shared" si="118"/>
        <v>0</v>
      </c>
      <c r="J317" s="128">
        <f t="shared" si="123"/>
        <v>0</v>
      </c>
      <c r="K317" s="123">
        <f t="shared" si="119"/>
        <v>0</v>
      </c>
      <c r="L317" s="128">
        <f t="shared" si="124"/>
        <v>0</v>
      </c>
      <c r="M317" s="119">
        <f t="shared" si="125"/>
        <v>0</v>
      </c>
      <c r="N317" s="119">
        <f t="shared" si="120"/>
        <v>0</v>
      </c>
      <c r="O317" s="121">
        <f t="shared" si="121"/>
        <v>0</v>
      </c>
      <c r="P317" s="119">
        <f>IF(depr_bonus_sta_sl_5="Yes",O317*depr_bonus_sta/100,0)</f>
        <v>0</v>
      </c>
      <c r="Q317" s="121">
        <f t="shared" si="126"/>
        <v>0</v>
      </c>
    </row>
    <row r="318" spans="1:42" x14ac:dyDescent="0.2">
      <c r="A318" s="22" t="str">
        <f>Inputs!B130</f>
        <v>15-yr SL</v>
      </c>
      <c r="B318" s="208">
        <f>IF(Inputs!$C$135=0,0,depr_alloc_sl_15_percent*100/Inputs!$C$135)</f>
        <v>2.5773195876288661</v>
      </c>
      <c r="C318" s="119">
        <f>$B$76*depr_alloc_sl_15_percent/100</f>
        <v>2799744.4375</v>
      </c>
      <c r="D318" s="119">
        <f t="shared" si="116"/>
        <v>0</v>
      </c>
      <c r="E318" s="119">
        <f t="shared" si="116"/>
        <v>0</v>
      </c>
      <c r="F318" s="121">
        <f t="shared" si="122"/>
        <v>2799744.4375</v>
      </c>
      <c r="G318" s="123">
        <f>IF(depr_itc_sta_sl_15="Yes",F318,0)</f>
        <v>0</v>
      </c>
      <c r="H318" s="130">
        <f t="shared" si="117"/>
        <v>0</v>
      </c>
      <c r="I318" s="119">
        <f t="shared" si="118"/>
        <v>0</v>
      </c>
      <c r="J318" s="128">
        <f t="shared" si="123"/>
        <v>0</v>
      </c>
      <c r="K318" s="123">
        <f t="shared" si="119"/>
        <v>0</v>
      </c>
      <c r="L318" s="128">
        <f t="shared" si="124"/>
        <v>0</v>
      </c>
      <c r="M318" s="119">
        <f t="shared" si="125"/>
        <v>0</v>
      </c>
      <c r="N318" s="119">
        <f t="shared" si="120"/>
        <v>0</v>
      </c>
      <c r="O318" s="121">
        <f t="shared" si="121"/>
        <v>2799744.4375</v>
      </c>
      <c r="P318" s="119">
        <f>IF(depr_bonus_sta_sl_15="Yes",O318*depr_bonus_sta/100,0)</f>
        <v>0</v>
      </c>
      <c r="Q318" s="121">
        <f t="shared" si="126"/>
        <v>2799744.4375</v>
      </c>
    </row>
    <row r="319" spans="1:42" x14ac:dyDescent="0.2">
      <c r="A319" s="22" t="str">
        <f>Inputs!B131</f>
        <v>20-yr SL</v>
      </c>
      <c r="B319" s="208">
        <f>IF(Inputs!$C$135=0,0,depr_alloc_sl_20_percent*100/Inputs!$C$135)</f>
        <v>3.0927835051546393</v>
      </c>
      <c r="C319" s="119">
        <f>$B$76*depr_alloc_sl_20_percent/100</f>
        <v>3359693.3250000002</v>
      </c>
      <c r="D319" s="119">
        <f t="shared" si="116"/>
        <v>0</v>
      </c>
      <c r="E319" s="119">
        <f t="shared" si="116"/>
        <v>0</v>
      </c>
      <c r="F319" s="121">
        <f t="shared" si="122"/>
        <v>3359693.3250000002</v>
      </c>
      <c r="G319" s="123">
        <f>IF(depr_itc_sta_sl_20="Yes",F319,0)</f>
        <v>0</v>
      </c>
      <c r="H319" s="130">
        <f t="shared" si="117"/>
        <v>0</v>
      </c>
      <c r="I319" s="119">
        <f t="shared" si="118"/>
        <v>0</v>
      </c>
      <c r="J319" s="128">
        <f t="shared" si="123"/>
        <v>0</v>
      </c>
      <c r="K319" s="123">
        <f t="shared" si="119"/>
        <v>0</v>
      </c>
      <c r="L319" s="128">
        <f t="shared" si="124"/>
        <v>0</v>
      </c>
      <c r="M319" s="119">
        <f t="shared" si="125"/>
        <v>0</v>
      </c>
      <c r="N319" s="119">
        <f t="shared" si="120"/>
        <v>0</v>
      </c>
      <c r="O319" s="121">
        <f t="shared" si="121"/>
        <v>3359693.3250000002</v>
      </c>
      <c r="P319" s="119">
        <f>IF(depr_bonus_sta_sl_20="Yes",O319*depr_bonus_sta/100,0)</f>
        <v>0</v>
      </c>
      <c r="Q319" s="121">
        <f t="shared" si="126"/>
        <v>3359693.3250000002</v>
      </c>
    </row>
    <row r="320" spans="1:42" x14ac:dyDescent="0.2">
      <c r="A320" s="22" t="str">
        <f>Inputs!B132</f>
        <v>39-yr SL</v>
      </c>
      <c r="B320" s="268">
        <f>IF(Inputs!$C$135=0,0,depr_alloc_sl_39_percent*100/Inputs!$C$135)</f>
        <v>0</v>
      </c>
      <c r="C320" s="119">
        <f>$B$76*depr_alloc_sl_39_percent/100</f>
        <v>0</v>
      </c>
      <c r="D320" s="119">
        <f t="shared" si="116"/>
        <v>0</v>
      </c>
      <c r="E320" s="119">
        <f t="shared" si="116"/>
        <v>0</v>
      </c>
      <c r="F320" s="121">
        <f t="shared" si="122"/>
        <v>0</v>
      </c>
      <c r="G320" s="123">
        <f>IF(depr_itc_sta_sl_39="Yes",F320,0)</f>
        <v>0</v>
      </c>
      <c r="H320" s="130">
        <f t="shared" si="117"/>
        <v>0</v>
      </c>
      <c r="I320" s="119">
        <f t="shared" si="118"/>
        <v>0</v>
      </c>
      <c r="J320" s="128">
        <f t="shared" si="123"/>
        <v>0</v>
      </c>
      <c r="K320" s="123">
        <f t="shared" si="119"/>
        <v>0</v>
      </c>
      <c r="L320" s="128">
        <f t="shared" si="124"/>
        <v>0</v>
      </c>
      <c r="M320" s="123">
        <f>IF(itc_sta_amount_deprbas_sta="Yes",L320,0)+IF(itc_sta_percent_deprbas_sta="Yes",J320,0)</f>
        <v>0</v>
      </c>
      <c r="N320" s="119">
        <f t="shared" si="120"/>
        <v>0</v>
      </c>
      <c r="O320" s="121">
        <f>F320-M320-N320</f>
        <v>0</v>
      </c>
      <c r="P320" s="119">
        <f>IF(depr_bonus_sta_sl_39="Yes",O320*depr_bonus_sta/100,0)</f>
        <v>0</v>
      </c>
      <c r="Q320" s="121">
        <f>O320-P320</f>
        <v>0</v>
      </c>
    </row>
    <row r="321" spans="1:17" x14ac:dyDescent="0.2">
      <c r="A321" s="22" t="s">
        <v>243</v>
      </c>
      <c r="B321" s="209">
        <f>IF(Inputs!$C$135=0,0,depr_alloc_custom_percent*100/Inputs!$C$135)</f>
        <v>0</v>
      </c>
      <c r="C321" s="119">
        <f>$B$76*depr_alloc_custom_percent/100</f>
        <v>0</v>
      </c>
      <c r="D321" s="119">
        <f t="shared" si="116"/>
        <v>0</v>
      </c>
      <c r="E321" s="119">
        <f t="shared" si="116"/>
        <v>0</v>
      </c>
      <c r="F321" s="121">
        <f>C321-D321-E321</f>
        <v>0</v>
      </c>
      <c r="G321" s="123">
        <f>IF(depr_itc_sta_custom="Yes",F320,0)</f>
        <v>0</v>
      </c>
      <c r="H321" s="130">
        <f t="shared" si="117"/>
        <v>0</v>
      </c>
      <c r="I321" s="119">
        <f t="shared" si="118"/>
        <v>0</v>
      </c>
      <c r="J321" s="128">
        <f t="shared" si="123"/>
        <v>0</v>
      </c>
      <c r="K321" s="123">
        <f t="shared" si="119"/>
        <v>0</v>
      </c>
      <c r="L321" s="119">
        <f t="shared" si="124"/>
        <v>0</v>
      </c>
      <c r="M321" s="123">
        <f>IF(itc_sta_amount_deprbas_sta="Yes",L321,0)+IF(itc_sta_percent_deprbas_sta="Yes",J321,0)</f>
        <v>0</v>
      </c>
      <c r="N321" s="128">
        <f>IF(itc_fed_amount_deprbas_sta="Yes",L457,0)+IF(itc_fed_percent_deprbas_sta="Yes",J457,0)</f>
        <v>0</v>
      </c>
      <c r="O321" s="124">
        <f>F321-M321-N321</f>
        <v>0</v>
      </c>
      <c r="P321" s="119">
        <f>IF(depr_bonus_sta_custom="Yes",O321*depr_bonus_sta/100,0)</f>
        <v>0</v>
      </c>
      <c r="Q321" s="124">
        <f>O321-P321</f>
        <v>0</v>
      </c>
    </row>
    <row r="322" spans="1:17" x14ac:dyDescent="0.2">
      <c r="A322" s="22" t="s">
        <v>13</v>
      </c>
      <c r="B322" s="209">
        <f>SUM(B315:B321)</f>
        <v>100</v>
      </c>
      <c r="C322" s="137">
        <f>SUM(C315:C321)</f>
        <v>108630084.175</v>
      </c>
      <c r="D322" s="137">
        <f>B331+B337</f>
        <v>0</v>
      </c>
      <c r="E322" s="137">
        <f>B343</f>
        <v>0</v>
      </c>
      <c r="F322" s="180">
        <f>SUM(F315:F321)</f>
        <v>108630084.175</v>
      </c>
      <c r="G322" s="135">
        <f>SUM(G315:G321)</f>
        <v>100790799.75</v>
      </c>
      <c r="H322" s="131">
        <f>SUM(H315:H321)</f>
        <v>100</v>
      </c>
      <c r="I322" s="137">
        <f>SUM(C591:AP591)</f>
        <v>0</v>
      </c>
      <c r="J322" s="137">
        <f>SUM(J315:J321)</f>
        <v>0</v>
      </c>
      <c r="K322" s="135">
        <f>SUM(C588:AP588)</f>
        <v>0</v>
      </c>
      <c r="L322" s="138">
        <f t="shared" ref="L322:Q322" si="127">SUM(L315:L321)</f>
        <v>0</v>
      </c>
      <c r="M322" s="135">
        <f t="shared" si="127"/>
        <v>0</v>
      </c>
      <c r="N322" s="138">
        <f t="shared" si="127"/>
        <v>15118619.962499999</v>
      </c>
      <c r="O322" s="124">
        <f t="shared" si="127"/>
        <v>93511464.212499991</v>
      </c>
      <c r="P322" s="180">
        <f t="shared" si="127"/>
        <v>0</v>
      </c>
      <c r="Q322" s="124">
        <f t="shared" si="127"/>
        <v>93511464.212499991</v>
      </c>
    </row>
    <row r="324" spans="1:17" x14ac:dyDescent="0.2">
      <c r="A324" s="4" t="s">
        <v>50</v>
      </c>
    </row>
    <row r="325" spans="1:17" x14ac:dyDescent="0.2">
      <c r="A325" s="87" t="str">
        <f>A612</f>
        <v>Investment Based Incentive (IBI)</v>
      </c>
    </row>
    <row r="326" spans="1:17" x14ac:dyDescent="0.2">
      <c r="A326" s="22" t="str">
        <f t="shared" ref="A326:A337" si="128">A613</f>
        <v>As fixed amount</v>
      </c>
    </row>
    <row r="327" spans="1:17" x14ac:dyDescent="0.2">
      <c r="A327" s="88" t="str">
        <f t="shared" si="128"/>
        <v>Federal ($)</v>
      </c>
      <c r="B327" s="159">
        <f>IF(ibi_fed_amount_deprbas_sta="Yes",ibi_fed_amount,0)</f>
        <v>0</v>
      </c>
    </row>
    <row r="328" spans="1:17" x14ac:dyDescent="0.2">
      <c r="A328" s="88" t="str">
        <f t="shared" si="128"/>
        <v>State ($)</v>
      </c>
      <c r="B328" s="159">
        <f>IF(ibi_sta_amount_deprbas_sta="Yes",ibi_sta_amount,0)</f>
        <v>0</v>
      </c>
    </row>
    <row r="329" spans="1:17" x14ac:dyDescent="0.2">
      <c r="A329" s="88" t="str">
        <f t="shared" si="128"/>
        <v>Utility ($)</v>
      </c>
      <c r="B329" s="159">
        <f>IF(ibi_uti_amount_deprbas_sta="Yes",ibi_uti_amount,0)</f>
        <v>0</v>
      </c>
    </row>
    <row r="330" spans="1:17" x14ac:dyDescent="0.2">
      <c r="A330" s="88" t="str">
        <f t="shared" si="128"/>
        <v>Other ($)</v>
      </c>
      <c r="B330" s="160">
        <f>IF(ibi_oth_amount_deprbas_sta="Yes",ibi_oth_amount,0)</f>
        <v>0</v>
      </c>
    </row>
    <row r="331" spans="1:17" x14ac:dyDescent="0.2">
      <c r="A331" s="88" t="str">
        <f t="shared" si="128"/>
        <v>Total</v>
      </c>
      <c r="B331" s="159">
        <f>SUM(B327:B330)</f>
        <v>0</v>
      </c>
    </row>
    <row r="332" spans="1:17" x14ac:dyDescent="0.2">
      <c r="A332" s="22" t="str">
        <f t="shared" si="128"/>
        <v>As percentage</v>
      </c>
    </row>
    <row r="333" spans="1:17" x14ac:dyDescent="0.2">
      <c r="A333" s="88" t="str">
        <f t="shared" si="128"/>
        <v>Federal (% of total installed cost)</v>
      </c>
      <c r="B333" s="159">
        <f>IF(ibi_fed_percent_deprbas_sta="Yes",C620,0)</f>
        <v>0</v>
      </c>
    </row>
    <row r="334" spans="1:17" x14ac:dyDescent="0.2">
      <c r="A334" s="88" t="str">
        <f>A621</f>
        <v>State (% of total installed cost)</v>
      </c>
      <c r="B334" s="159">
        <f>IF(ibi_sta_percent_deprbas_sta="Yes",C621,0)</f>
        <v>0</v>
      </c>
    </row>
    <row r="335" spans="1:17" x14ac:dyDescent="0.2">
      <c r="A335" s="88" t="str">
        <f t="shared" si="128"/>
        <v>Utility (% of total installed cost)</v>
      </c>
      <c r="B335" s="159">
        <f>IF(ibi_uti_percent_deprbas_sta="Yes",C622,0)</f>
        <v>0</v>
      </c>
    </row>
    <row r="336" spans="1:17" x14ac:dyDescent="0.2">
      <c r="A336" s="88" t="str">
        <f t="shared" si="128"/>
        <v>Other (% of total installed cost)</v>
      </c>
      <c r="B336" s="160">
        <f>IF(ibi_oth_percent_deprbas_sta="Yes",C623,0)</f>
        <v>0</v>
      </c>
    </row>
    <row r="337" spans="1:42" x14ac:dyDescent="0.2">
      <c r="A337" s="88" t="str">
        <f t="shared" si="128"/>
        <v>Total</v>
      </c>
      <c r="B337" s="159">
        <f>SUM(B333:B336)</f>
        <v>0</v>
      </c>
    </row>
    <row r="338" spans="1:42" x14ac:dyDescent="0.2">
      <c r="A338" s="87" t="str">
        <f t="shared" ref="A338:A343" si="129">A627</f>
        <v>Capacity Based Incentive (CBI)</v>
      </c>
    </row>
    <row r="339" spans="1:42" x14ac:dyDescent="0.2">
      <c r="A339" s="22" t="str">
        <f t="shared" si="129"/>
        <v>Federal ($/W)</v>
      </c>
      <c r="B339" s="159">
        <f>IF(cbi_fed_deprbas_sta="Yes",C628,0)</f>
        <v>0</v>
      </c>
    </row>
    <row r="340" spans="1:42" x14ac:dyDescent="0.2">
      <c r="A340" s="22" t="str">
        <f t="shared" si="129"/>
        <v>State ($/W)</v>
      </c>
      <c r="B340" s="159">
        <f>IF(cbi_sta_deprbas_sta="Yes",C629,0)</f>
        <v>0</v>
      </c>
    </row>
    <row r="341" spans="1:42" x14ac:dyDescent="0.2">
      <c r="A341" s="22" t="str">
        <f t="shared" si="129"/>
        <v>Utility ($/W)</v>
      </c>
      <c r="B341" s="159">
        <f>IF(cbi_uti_deprbas_sta="Yes",C630,0)</f>
        <v>0</v>
      </c>
    </row>
    <row r="342" spans="1:42" x14ac:dyDescent="0.2">
      <c r="A342" s="22" t="str">
        <f t="shared" si="129"/>
        <v>Other ($/W)</v>
      </c>
      <c r="B342" s="159">
        <f>IF(cbi_oth_deprbas_sta="Yes",C631,0)</f>
        <v>0</v>
      </c>
    </row>
    <row r="343" spans="1:42" x14ac:dyDescent="0.2">
      <c r="A343" s="22" t="str">
        <f t="shared" si="129"/>
        <v>Total CBI</v>
      </c>
      <c r="B343" s="161">
        <f>SUM(B339:B342)</f>
        <v>0</v>
      </c>
    </row>
    <row r="344" spans="1:42" x14ac:dyDescent="0.2">
      <c r="A344" s="87" t="s">
        <v>38</v>
      </c>
      <c r="B344" s="159">
        <f>B331+B337+B343</f>
        <v>0</v>
      </c>
    </row>
    <row r="346" spans="1:42" x14ac:dyDescent="0.2">
      <c r="A346" s="4" t="s">
        <v>68</v>
      </c>
    </row>
    <row r="347" spans="1:42" x14ac:dyDescent="0.2">
      <c r="A347" s="22" t="s">
        <v>44</v>
      </c>
    </row>
    <row r="348" spans="1:42" x14ac:dyDescent="0.2">
      <c r="A348" s="23" t="str">
        <f t="shared" ref="A348:A353" si="130">A315</f>
        <v>5-yr MACRS</v>
      </c>
      <c r="B348" s="166">
        <f t="array" ref="B348">SUM(IF(ISNUMBER(C348:AP348),C348:AP348))</f>
        <v>100</v>
      </c>
      <c r="C348" s="167">
        <f>LOOKUP(C$2,'Depreciation Schedules'!$A$3:$A$42,'Depreciation Schedules'!$B$3:$B$42)</f>
        <v>20</v>
      </c>
      <c r="D348" s="167">
        <f>LOOKUP(D$2,'Depreciation Schedules'!$A$3:$A$42,'Depreciation Schedules'!$B$3:$B$42)</f>
        <v>32</v>
      </c>
      <c r="E348" s="167">
        <f>LOOKUP(E$2,'Depreciation Schedules'!$A$3:$A$42,'Depreciation Schedules'!$B$3:$B$42)</f>
        <v>19.2</v>
      </c>
      <c r="F348" s="167">
        <f>LOOKUP(F$2,'Depreciation Schedules'!$A$3:$A$42,'Depreciation Schedules'!$B$3:$B$42)</f>
        <v>11.52</v>
      </c>
      <c r="G348" s="167">
        <f>LOOKUP(G$2,'Depreciation Schedules'!$A$3:$A$42,'Depreciation Schedules'!$B$3:$B$42)</f>
        <v>11.52</v>
      </c>
      <c r="H348" s="167">
        <f>LOOKUP(H$2,'Depreciation Schedules'!$A$3:$A$42,'Depreciation Schedules'!$B$3:$B$42)</f>
        <v>5.76</v>
      </c>
      <c r="I348" s="167">
        <f>LOOKUP(I$2,'Depreciation Schedules'!$A$3:$A$42,'Depreciation Schedules'!$B$3:$B$42)</f>
        <v>0</v>
      </c>
      <c r="J348" s="167">
        <f>LOOKUP(J$2,'Depreciation Schedules'!$A$3:$A$42,'Depreciation Schedules'!$B$3:$B$42)</f>
        <v>0</v>
      </c>
      <c r="K348" s="167">
        <f>LOOKUP(K$2,'Depreciation Schedules'!$A$3:$A$42,'Depreciation Schedules'!$B$3:$B$42)</f>
        <v>0</v>
      </c>
      <c r="L348" s="167">
        <f>LOOKUP(L$2,'Depreciation Schedules'!$A$3:$A$42,'Depreciation Schedules'!$B$3:$B$42)</f>
        <v>0</v>
      </c>
      <c r="M348" s="167">
        <f>LOOKUP(M$2,'Depreciation Schedules'!$A$3:$A$42,'Depreciation Schedules'!$B$3:$B$42)</f>
        <v>0</v>
      </c>
      <c r="N348" s="167">
        <f>LOOKUP(N$2,'Depreciation Schedules'!$A$3:$A$42,'Depreciation Schedules'!$B$3:$B$42)</f>
        <v>0</v>
      </c>
      <c r="O348" s="167">
        <f>LOOKUP(O$2,'Depreciation Schedules'!$A$3:$A$42,'Depreciation Schedules'!$B$3:$B$42)</f>
        <v>0</v>
      </c>
      <c r="P348" s="167">
        <f>LOOKUP(P$2,'Depreciation Schedules'!$A$3:$A$42,'Depreciation Schedules'!$B$3:$B$42)</f>
        <v>0</v>
      </c>
      <c r="Q348" s="167">
        <f>LOOKUP(Q$2,'Depreciation Schedules'!$A$3:$A$42,'Depreciation Schedules'!$B$3:$B$42)</f>
        <v>0</v>
      </c>
      <c r="R348" s="167">
        <f>LOOKUP(R$2,'Depreciation Schedules'!$A$3:$A$42,'Depreciation Schedules'!$B$3:$B$42)</f>
        <v>0</v>
      </c>
      <c r="S348" s="167">
        <f>LOOKUP(S$2,'Depreciation Schedules'!$A$3:$A$42,'Depreciation Schedules'!$B$3:$B$42)</f>
        <v>0</v>
      </c>
      <c r="T348" s="167">
        <f>LOOKUP(T$2,'Depreciation Schedules'!$A$3:$A$42,'Depreciation Schedules'!$B$3:$B$42)</f>
        <v>0</v>
      </c>
      <c r="U348" s="167">
        <f>LOOKUP(U$2,'Depreciation Schedules'!$A$3:$A$42,'Depreciation Schedules'!$B$3:$B$42)</f>
        <v>0</v>
      </c>
      <c r="V348" s="167">
        <f>LOOKUP(V$2,'Depreciation Schedules'!$A$3:$A$42,'Depreciation Schedules'!$B$3:$B$42)</f>
        <v>0</v>
      </c>
      <c r="W348" s="167">
        <f>LOOKUP(W$2,'Depreciation Schedules'!$A$3:$A$42,'Depreciation Schedules'!$B$3:$B$42)</f>
        <v>0</v>
      </c>
      <c r="X348" s="167">
        <f>LOOKUP(X$2,'Depreciation Schedules'!$A$3:$A$42,'Depreciation Schedules'!$B$3:$B$42)</f>
        <v>0</v>
      </c>
      <c r="Y348" s="167">
        <f>LOOKUP(Y$2,'Depreciation Schedules'!$A$3:$A$42,'Depreciation Schedules'!$B$3:$B$42)</f>
        <v>0</v>
      </c>
      <c r="Z348" s="167">
        <f>LOOKUP(Z$2,'Depreciation Schedules'!$A$3:$A$42,'Depreciation Schedules'!$B$3:$B$42)</f>
        <v>0</v>
      </c>
      <c r="AA348" s="167">
        <f>LOOKUP(AA$2,'Depreciation Schedules'!$A$3:$A$42,'Depreciation Schedules'!$B$3:$B$42)</f>
        <v>0</v>
      </c>
      <c r="AB348" s="167">
        <f>LOOKUP(AB$2,'Depreciation Schedules'!$A$3:$A$42,'Depreciation Schedules'!$B$3:$B$42)</f>
        <v>0</v>
      </c>
      <c r="AC348" s="167">
        <f>LOOKUP(AC$2,'Depreciation Schedules'!$A$3:$A$42,'Depreciation Schedules'!$B$3:$B$42)</f>
        <v>0</v>
      </c>
      <c r="AD348" s="167">
        <f>LOOKUP(AD$2,'Depreciation Schedules'!$A$3:$A$42,'Depreciation Schedules'!$B$3:$B$42)</f>
        <v>0</v>
      </c>
      <c r="AE348" s="167">
        <f>LOOKUP(AE$2,'Depreciation Schedules'!$A$3:$A$42,'Depreciation Schedules'!$B$3:$B$42)</f>
        <v>0</v>
      </c>
      <c r="AF348" s="167">
        <f>LOOKUP(AF$2,'Depreciation Schedules'!$A$3:$A$42,'Depreciation Schedules'!$B$3:$B$42)</f>
        <v>0</v>
      </c>
      <c r="AG348" s="167">
        <f>LOOKUP(AG$2,'Depreciation Schedules'!$A$3:$A$42,'Depreciation Schedules'!$B$3:$B$42)</f>
        <v>0</v>
      </c>
      <c r="AH348" s="167">
        <f>LOOKUP(AH$2,'Depreciation Schedules'!$A$3:$A$42,'Depreciation Schedules'!$B$3:$B$42)</f>
        <v>0</v>
      </c>
      <c r="AI348" s="167">
        <f>LOOKUP(AI$2,'Depreciation Schedules'!$A$3:$A$42,'Depreciation Schedules'!$B$3:$B$42)</f>
        <v>0</v>
      </c>
      <c r="AJ348" s="167">
        <f>LOOKUP(AJ$2,'Depreciation Schedules'!$A$3:$A$42,'Depreciation Schedules'!$B$3:$B$42)</f>
        <v>0</v>
      </c>
      <c r="AK348" s="167">
        <f>LOOKUP(AK$2,'Depreciation Schedules'!$A$3:$A$42,'Depreciation Schedules'!$B$3:$B$42)</f>
        <v>0</v>
      </c>
      <c r="AL348" s="167">
        <f>LOOKUP(AL$2,'Depreciation Schedules'!$A$3:$A$42,'Depreciation Schedules'!$B$3:$B$42)</f>
        <v>0</v>
      </c>
      <c r="AM348" s="167">
        <f>LOOKUP(AM$2,'Depreciation Schedules'!$A$3:$A$42,'Depreciation Schedules'!$B$3:$B$42)</f>
        <v>0</v>
      </c>
      <c r="AN348" s="167">
        <f>LOOKUP(AN$2,'Depreciation Schedules'!$A$3:$A$42,'Depreciation Schedules'!$B$3:$B$42)</f>
        <v>0</v>
      </c>
      <c r="AO348" s="167">
        <f>LOOKUP(AO$2,'Depreciation Schedules'!$A$3:$A$42,'Depreciation Schedules'!$B$3:$B$42)</f>
        <v>0</v>
      </c>
      <c r="AP348" s="167">
        <f>LOOKUP(AP$2,'Depreciation Schedules'!$A$3:$A$42,'Depreciation Schedules'!$B$3:$B$42)</f>
        <v>0</v>
      </c>
    </row>
    <row r="349" spans="1:42" x14ac:dyDescent="0.2">
      <c r="A349" s="23" t="str">
        <f t="shared" si="130"/>
        <v>15-yr MACRS</v>
      </c>
      <c r="B349" s="166">
        <f t="array" ref="B349">SUM(IF(ISNUMBER(C349:AP349),C349:AP349))</f>
        <v>99.990000000000009</v>
      </c>
      <c r="C349" s="167">
        <f>LOOKUP(C$2,'Depreciation Schedules'!$A$3:$A$42,'Depreciation Schedules'!$C$3:$C$42)</f>
        <v>5</v>
      </c>
      <c r="D349" s="167">
        <f>LOOKUP(D$2,'Depreciation Schedules'!$A$3:$A$42,'Depreciation Schedules'!$C$3:$C$42)</f>
        <v>9.5</v>
      </c>
      <c r="E349" s="167">
        <f>LOOKUP(E$2,'Depreciation Schedules'!$A$3:$A$42,'Depreciation Schedules'!$C$3:$C$42)</f>
        <v>8.5500000000000007</v>
      </c>
      <c r="F349" s="167">
        <f>LOOKUP(F$2,'Depreciation Schedules'!$A$3:$A$42,'Depreciation Schedules'!$C$3:$C$42)</f>
        <v>7.7</v>
      </c>
      <c r="G349" s="167">
        <f>LOOKUP(G$2,'Depreciation Schedules'!$A$3:$A$42,'Depreciation Schedules'!$C$3:$C$42)</f>
        <v>6.93</v>
      </c>
      <c r="H349" s="167">
        <f>LOOKUP(H$2,'Depreciation Schedules'!$A$3:$A$42,'Depreciation Schedules'!$C$3:$C$42)</f>
        <v>6.23</v>
      </c>
      <c r="I349" s="167">
        <f>LOOKUP(I$2,'Depreciation Schedules'!$A$3:$A$42,'Depreciation Schedules'!$C$3:$C$42)</f>
        <v>5.9</v>
      </c>
      <c r="J349" s="167">
        <f>LOOKUP(J$2,'Depreciation Schedules'!$A$3:$A$42,'Depreciation Schedules'!$C$3:$C$42)</f>
        <v>5.9</v>
      </c>
      <c r="K349" s="167">
        <f>LOOKUP(K$2,'Depreciation Schedules'!$A$3:$A$42,'Depreciation Schedules'!$C$3:$C$42)</f>
        <v>5.91</v>
      </c>
      <c r="L349" s="167">
        <f>LOOKUP(L$2,'Depreciation Schedules'!$A$3:$A$42,'Depreciation Schedules'!$C$3:$C$42)</f>
        <v>5.9</v>
      </c>
      <c r="M349" s="167">
        <f>LOOKUP(M$2,'Depreciation Schedules'!$A$3:$A$42,'Depreciation Schedules'!$C$3:$C$42)</f>
        <v>5.91</v>
      </c>
      <c r="N349" s="167">
        <f>LOOKUP(N$2,'Depreciation Schedules'!$A$3:$A$42,'Depreciation Schedules'!$C$3:$C$42)</f>
        <v>5.9</v>
      </c>
      <c r="O349" s="167">
        <f>LOOKUP(O$2,'Depreciation Schedules'!$A$3:$A$42,'Depreciation Schedules'!$C$3:$C$42)</f>
        <v>5.91</v>
      </c>
      <c r="P349" s="167">
        <f>LOOKUP(P$2,'Depreciation Schedules'!$A$3:$A$42,'Depreciation Schedules'!$C$3:$C$42)</f>
        <v>5.9</v>
      </c>
      <c r="Q349" s="167">
        <f>LOOKUP(Q$2,'Depreciation Schedules'!$A$3:$A$42,'Depreciation Schedules'!$C$3:$C$42)</f>
        <v>5.9</v>
      </c>
      <c r="R349" s="167">
        <f>LOOKUP(R$2,'Depreciation Schedules'!$A$3:$A$42,'Depreciation Schedules'!$C$3:$C$42)</f>
        <v>2.95</v>
      </c>
      <c r="S349" s="167">
        <f>LOOKUP(S$2,'Depreciation Schedules'!$A$3:$A$42,'Depreciation Schedules'!$C$3:$C$42)</f>
        <v>0</v>
      </c>
      <c r="T349" s="167">
        <f>LOOKUP(T$2,'Depreciation Schedules'!$A$3:$A$42,'Depreciation Schedules'!$C$3:$C$42)</f>
        <v>0</v>
      </c>
      <c r="U349" s="167">
        <f>LOOKUP(U$2,'Depreciation Schedules'!$A$3:$A$42,'Depreciation Schedules'!$C$3:$C$42)</f>
        <v>0</v>
      </c>
      <c r="V349" s="167">
        <f>LOOKUP(V$2,'Depreciation Schedules'!$A$3:$A$42,'Depreciation Schedules'!$C$3:$C$42)</f>
        <v>0</v>
      </c>
      <c r="W349" s="167">
        <f>LOOKUP(W$2,'Depreciation Schedules'!$A$3:$A$42,'Depreciation Schedules'!$C$3:$C$42)</f>
        <v>0</v>
      </c>
      <c r="X349" s="167">
        <f>LOOKUP(X$2,'Depreciation Schedules'!$A$3:$A$42,'Depreciation Schedules'!$C$3:$C$42)</f>
        <v>0</v>
      </c>
      <c r="Y349" s="167">
        <f>LOOKUP(Y$2,'Depreciation Schedules'!$A$3:$A$42,'Depreciation Schedules'!$C$3:$C$42)</f>
        <v>0</v>
      </c>
      <c r="Z349" s="167">
        <f>LOOKUP(Z$2,'Depreciation Schedules'!$A$3:$A$42,'Depreciation Schedules'!$C$3:$C$42)</f>
        <v>0</v>
      </c>
      <c r="AA349" s="167">
        <f>LOOKUP(AA$2,'Depreciation Schedules'!$A$3:$A$42,'Depreciation Schedules'!$C$3:$C$42)</f>
        <v>0</v>
      </c>
      <c r="AB349" s="167">
        <f>LOOKUP(AB$2,'Depreciation Schedules'!$A$3:$A$42,'Depreciation Schedules'!$C$3:$C$42)</f>
        <v>0</v>
      </c>
      <c r="AC349" s="167">
        <f>LOOKUP(AC$2,'Depreciation Schedules'!$A$3:$A$42,'Depreciation Schedules'!$C$3:$C$42)</f>
        <v>0</v>
      </c>
      <c r="AD349" s="167">
        <f>LOOKUP(AD$2,'Depreciation Schedules'!$A$3:$A$42,'Depreciation Schedules'!$C$3:$C$42)</f>
        <v>0</v>
      </c>
      <c r="AE349" s="167">
        <f>LOOKUP(AE$2,'Depreciation Schedules'!$A$3:$A$42,'Depreciation Schedules'!$C$3:$C$42)</f>
        <v>0</v>
      </c>
      <c r="AF349" s="167">
        <f>LOOKUP(AF$2,'Depreciation Schedules'!$A$3:$A$42,'Depreciation Schedules'!$C$3:$C$42)</f>
        <v>0</v>
      </c>
      <c r="AG349" s="167">
        <f>LOOKUP(AG$2,'Depreciation Schedules'!$A$3:$A$42,'Depreciation Schedules'!$C$3:$C$42)</f>
        <v>0</v>
      </c>
      <c r="AH349" s="167">
        <f>LOOKUP(AH$2,'Depreciation Schedules'!$A$3:$A$42,'Depreciation Schedules'!$C$3:$C$42)</f>
        <v>0</v>
      </c>
      <c r="AI349" s="167">
        <f>LOOKUP(AI$2,'Depreciation Schedules'!$A$3:$A$42,'Depreciation Schedules'!$C$3:$C$42)</f>
        <v>0</v>
      </c>
      <c r="AJ349" s="167">
        <f>LOOKUP(AJ$2,'Depreciation Schedules'!$A$3:$A$42,'Depreciation Schedules'!$C$3:$C$42)</f>
        <v>0</v>
      </c>
      <c r="AK349" s="167">
        <f>LOOKUP(AK$2,'Depreciation Schedules'!$A$3:$A$42,'Depreciation Schedules'!$C$3:$C$42)</f>
        <v>0</v>
      </c>
      <c r="AL349" s="167">
        <f>LOOKUP(AL$2,'Depreciation Schedules'!$A$3:$A$42,'Depreciation Schedules'!$C$3:$C$42)</f>
        <v>0</v>
      </c>
      <c r="AM349" s="167">
        <f>LOOKUP(AM$2,'Depreciation Schedules'!$A$3:$A$42,'Depreciation Schedules'!$C$3:$C$42)</f>
        <v>0</v>
      </c>
      <c r="AN349" s="167">
        <f>LOOKUP(AN$2,'Depreciation Schedules'!$A$3:$A$42,'Depreciation Schedules'!$C$3:$C$42)</f>
        <v>0</v>
      </c>
      <c r="AO349" s="167">
        <f>LOOKUP(AO$2,'Depreciation Schedules'!$A$3:$A$42,'Depreciation Schedules'!$C$3:$C$42)</f>
        <v>0</v>
      </c>
      <c r="AP349" s="167">
        <f>LOOKUP(AP$2,'Depreciation Schedules'!$A$3:$A$42,'Depreciation Schedules'!$C$3:$C$42)</f>
        <v>0</v>
      </c>
    </row>
    <row r="350" spans="1:42" x14ac:dyDescent="0.2">
      <c r="A350" s="23" t="str">
        <f t="shared" si="130"/>
        <v>5-yr SL</v>
      </c>
      <c r="B350" s="166">
        <f t="array" ref="B350">SUM(IF(ISNUMBER(C350:AP350),C350:AP350))</f>
        <v>100</v>
      </c>
      <c r="C350" s="167">
        <f>LOOKUP(C$2,'Depreciation Schedules'!$A$3:$A$42,'Depreciation Schedules'!$D$3:$D$42)</f>
        <v>10</v>
      </c>
      <c r="D350" s="167">
        <f>LOOKUP(D$2,'Depreciation Schedules'!$A$3:$A$42,'Depreciation Schedules'!$D$3:$D$42)</f>
        <v>20</v>
      </c>
      <c r="E350" s="167">
        <f>LOOKUP(E$2,'Depreciation Schedules'!$A$3:$A$42,'Depreciation Schedules'!$D$3:$D$42)</f>
        <v>20</v>
      </c>
      <c r="F350" s="167">
        <f>LOOKUP(F$2,'Depreciation Schedules'!$A$3:$A$42,'Depreciation Schedules'!$D$3:$D$42)</f>
        <v>20</v>
      </c>
      <c r="G350" s="167">
        <f>LOOKUP(G$2,'Depreciation Schedules'!$A$3:$A$42,'Depreciation Schedules'!$D$3:$D$42)</f>
        <v>20</v>
      </c>
      <c r="H350" s="167">
        <f>LOOKUP(H$2,'Depreciation Schedules'!$A$3:$A$42,'Depreciation Schedules'!$D$3:$D$42)</f>
        <v>10</v>
      </c>
      <c r="I350" s="167">
        <f>LOOKUP(I$2,'Depreciation Schedules'!$A$3:$A$42,'Depreciation Schedules'!$D$3:$D$42)</f>
        <v>0</v>
      </c>
      <c r="J350" s="167">
        <f>LOOKUP(J$2,'Depreciation Schedules'!$A$3:$A$42,'Depreciation Schedules'!$D$3:$D$42)</f>
        <v>0</v>
      </c>
      <c r="K350" s="167">
        <f>LOOKUP(K$2,'Depreciation Schedules'!$A$3:$A$42,'Depreciation Schedules'!$D$3:$D$42)</f>
        <v>0</v>
      </c>
      <c r="L350" s="167">
        <f>LOOKUP(L$2,'Depreciation Schedules'!$A$3:$A$42,'Depreciation Schedules'!$D$3:$D$42)</f>
        <v>0</v>
      </c>
      <c r="M350" s="167">
        <f>LOOKUP(M$2,'Depreciation Schedules'!$A$3:$A$42,'Depreciation Schedules'!$D$3:$D$42)</f>
        <v>0</v>
      </c>
      <c r="N350" s="167">
        <f>LOOKUP(N$2,'Depreciation Schedules'!$A$3:$A$42,'Depreciation Schedules'!$D$3:$D$42)</f>
        <v>0</v>
      </c>
      <c r="O350" s="167">
        <f>LOOKUP(O$2,'Depreciation Schedules'!$A$3:$A$42,'Depreciation Schedules'!$D$3:$D$42)</f>
        <v>0</v>
      </c>
      <c r="P350" s="167">
        <f>LOOKUP(P$2,'Depreciation Schedules'!$A$3:$A$42,'Depreciation Schedules'!$D$3:$D$42)</f>
        <v>0</v>
      </c>
      <c r="Q350" s="167">
        <f>LOOKUP(Q$2,'Depreciation Schedules'!$A$3:$A$42,'Depreciation Schedules'!$D$3:$D$42)</f>
        <v>0</v>
      </c>
      <c r="R350" s="167">
        <f>LOOKUP(R$2,'Depreciation Schedules'!$A$3:$A$42,'Depreciation Schedules'!$D$3:$D$42)</f>
        <v>0</v>
      </c>
      <c r="S350" s="167">
        <f>LOOKUP(S$2,'Depreciation Schedules'!$A$3:$A$42,'Depreciation Schedules'!$D$3:$D$42)</f>
        <v>0</v>
      </c>
      <c r="T350" s="167">
        <f>LOOKUP(T$2,'Depreciation Schedules'!$A$3:$A$42,'Depreciation Schedules'!$D$3:$D$42)</f>
        <v>0</v>
      </c>
      <c r="U350" s="167">
        <f>LOOKUP(U$2,'Depreciation Schedules'!$A$3:$A$42,'Depreciation Schedules'!$D$3:$D$42)</f>
        <v>0</v>
      </c>
      <c r="V350" s="167">
        <f>LOOKUP(V$2,'Depreciation Schedules'!$A$3:$A$42,'Depreciation Schedules'!$D$3:$D$42)</f>
        <v>0</v>
      </c>
      <c r="W350" s="167">
        <f>LOOKUP(W$2,'Depreciation Schedules'!$A$3:$A$42,'Depreciation Schedules'!$D$3:$D$42)</f>
        <v>0</v>
      </c>
      <c r="X350" s="167">
        <f>LOOKUP(X$2,'Depreciation Schedules'!$A$3:$A$42,'Depreciation Schedules'!$D$3:$D$42)</f>
        <v>0</v>
      </c>
      <c r="Y350" s="167">
        <f>LOOKUP(Y$2,'Depreciation Schedules'!$A$3:$A$42,'Depreciation Schedules'!$D$3:$D$42)</f>
        <v>0</v>
      </c>
      <c r="Z350" s="167">
        <f>LOOKUP(Z$2,'Depreciation Schedules'!$A$3:$A$42,'Depreciation Schedules'!$D$3:$D$42)</f>
        <v>0</v>
      </c>
      <c r="AA350" s="167">
        <f>LOOKUP(AA$2,'Depreciation Schedules'!$A$3:$A$42,'Depreciation Schedules'!$D$3:$D$42)</f>
        <v>0</v>
      </c>
      <c r="AB350" s="167">
        <f>LOOKUP(AB$2,'Depreciation Schedules'!$A$3:$A$42,'Depreciation Schedules'!$D$3:$D$42)</f>
        <v>0</v>
      </c>
      <c r="AC350" s="167">
        <f>LOOKUP(AC$2,'Depreciation Schedules'!$A$3:$A$42,'Depreciation Schedules'!$D$3:$D$42)</f>
        <v>0</v>
      </c>
      <c r="AD350" s="167">
        <f>LOOKUP(AD$2,'Depreciation Schedules'!$A$3:$A$42,'Depreciation Schedules'!$D$3:$D$42)</f>
        <v>0</v>
      </c>
      <c r="AE350" s="167">
        <f>LOOKUP(AE$2,'Depreciation Schedules'!$A$3:$A$42,'Depreciation Schedules'!$D$3:$D$42)</f>
        <v>0</v>
      </c>
      <c r="AF350" s="167">
        <f>LOOKUP(AF$2,'Depreciation Schedules'!$A$3:$A$42,'Depreciation Schedules'!$D$3:$D$42)</f>
        <v>0</v>
      </c>
      <c r="AG350" s="167">
        <f>LOOKUP(AG$2,'Depreciation Schedules'!$A$3:$A$42,'Depreciation Schedules'!$D$3:$D$42)</f>
        <v>0</v>
      </c>
      <c r="AH350" s="167">
        <f>LOOKUP(AH$2,'Depreciation Schedules'!$A$3:$A$42,'Depreciation Schedules'!$D$3:$D$42)</f>
        <v>0</v>
      </c>
      <c r="AI350" s="167">
        <f>LOOKUP(AI$2,'Depreciation Schedules'!$A$3:$A$42,'Depreciation Schedules'!$D$3:$D$42)</f>
        <v>0</v>
      </c>
      <c r="AJ350" s="167">
        <f>LOOKUP(AJ$2,'Depreciation Schedules'!$A$3:$A$42,'Depreciation Schedules'!$D$3:$D$42)</f>
        <v>0</v>
      </c>
      <c r="AK350" s="167">
        <f>LOOKUP(AK$2,'Depreciation Schedules'!$A$3:$A$42,'Depreciation Schedules'!$D$3:$D$42)</f>
        <v>0</v>
      </c>
      <c r="AL350" s="167">
        <f>LOOKUP(AL$2,'Depreciation Schedules'!$A$3:$A$42,'Depreciation Schedules'!$D$3:$D$42)</f>
        <v>0</v>
      </c>
      <c r="AM350" s="167">
        <f>LOOKUP(AM$2,'Depreciation Schedules'!$A$3:$A$42,'Depreciation Schedules'!$D$3:$D$42)</f>
        <v>0</v>
      </c>
      <c r="AN350" s="167">
        <f>LOOKUP(AN$2,'Depreciation Schedules'!$A$3:$A$42,'Depreciation Schedules'!$D$3:$D$42)</f>
        <v>0</v>
      </c>
      <c r="AO350" s="167">
        <f>LOOKUP(AO$2,'Depreciation Schedules'!$A$3:$A$42,'Depreciation Schedules'!$D$3:$D$42)</f>
        <v>0</v>
      </c>
      <c r="AP350" s="167">
        <f>LOOKUP(AP$2,'Depreciation Schedules'!$A$3:$A$42,'Depreciation Schedules'!$D$3:$D$42)</f>
        <v>0</v>
      </c>
    </row>
    <row r="351" spans="1:42" x14ac:dyDescent="0.2">
      <c r="A351" s="23" t="str">
        <f t="shared" si="130"/>
        <v>15-yr SL</v>
      </c>
      <c r="B351" s="166">
        <f t="array" ref="B351">SUM(IF(ISNUMBER(C351:AP351),C351:AP351))</f>
        <v>100.02000000000001</v>
      </c>
      <c r="C351" s="167">
        <f>LOOKUP(C$2,'Depreciation Schedules'!$A$3:$A$42,'Depreciation Schedules'!$E$3:$E$42)</f>
        <v>3.33</v>
      </c>
      <c r="D351" s="167">
        <f>LOOKUP(D$2,'Depreciation Schedules'!$A$3:$A$42,'Depreciation Schedules'!$E$3:$E$42)</f>
        <v>6.67</v>
      </c>
      <c r="E351" s="167">
        <f>LOOKUP(E$2,'Depreciation Schedules'!$A$3:$A$42,'Depreciation Schedules'!$E$3:$E$42)</f>
        <v>6.67</v>
      </c>
      <c r="F351" s="167">
        <f>LOOKUP(F$2,'Depreciation Schedules'!$A$3:$A$42,'Depreciation Schedules'!$E$3:$E$42)</f>
        <v>6.67</v>
      </c>
      <c r="G351" s="167">
        <f>LOOKUP(G$2,'Depreciation Schedules'!$A$3:$A$42,'Depreciation Schedules'!$E$3:$E$42)</f>
        <v>6.67</v>
      </c>
      <c r="H351" s="167">
        <f>LOOKUP(H$2,'Depreciation Schedules'!$A$3:$A$42,'Depreciation Schedules'!$E$3:$E$42)</f>
        <v>6.67</v>
      </c>
      <c r="I351" s="167">
        <f>LOOKUP(I$2,'Depreciation Schedules'!$A$3:$A$42,'Depreciation Schedules'!$E$3:$E$42)</f>
        <v>6.67</v>
      </c>
      <c r="J351" s="167">
        <f>LOOKUP(J$2,'Depreciation Schedules'!$A$3:$A$42,'Depreciation Schedules'!$E$3:$E$42)</f>
        <v>6.67</v>
      </c>
      <c r="K351" s="167">
        <f>LOOKUP(K$2,'Depreciation Schedules'!$A$3:$A$42,'Depreciation Schedules'!$E$3:$E$42)</f>
        <v>6.67</v>
      </c>
      <c r="L351" s="167">
        <f>LOOKUP(L$2,'Depreciation Schedules'!$A$3:$A$42,'Depreciation Schedules'!$E$3:$E$42)</f>
        <v>6.67</v>
      </c>
      <c r="M351" s="167">
        <f>LOOKUP(M$2,'Depreciation Schedules'!$A$3:$A$42,'Depreciation Schedules'!$E$3:$E$42)</f>
        <v>6.67</v>
      </c>
      <c r="N351" s="167">
        <f>LOOKUP(N$2,'Depreciation Schedules'!$A$3:$A$42,'Depreciation Schedules'!$E$3:$E$42)</f>
        <v>6.66</v>
      </c>
      <c r="O351" s="167">
        <f>LOOKUP(O$2,'Depreciation Schedules'!$A$3:$A$42,'Depreciation Schedules'!$E$3:$E$42)</f>
        <v>6.67</v>
      </c>
      <c r="P351" s="167">
        <f>LOOKUP(P$2,'Depreciation Schedules'!$A$3:$A$42,'Depreciation Schedules'!$E$3:$E$42)</f>
        <v>6.66</v>
      </c>
      <c r="Q351" s="167">
        <f>LOOKUP(Q$2,'Depreciation Schedules'!$A$3:$A$42,'Depreciation Schedules'!$E$3:$E$42)</f>
        <v>6.67</v>
      </c>
      <c r="R351" s="167">
        <f>LOOKUP(R$2,'Depreciation Schedules'!$A$3:$A$42,'Depreciation Schedules'!$E$3:$E$42)</f>
        <v>3.33</v>
      </c>
      <c r="S351" s="167">
        <f>LOOKUP(S$2,'Depreciation Schedules'!$A$3:$A$42,'Depreciation Schedules'!$E$3:$E$42)</f>
        <v>0</v>
      </c>
      <c r="T351" s="167">
        <f>LOOKUP(T$2,'Depreciation Schedules'!$A$3:$A$42,'Depreciation Schedules'!$E$3:$E$42)</f>
        <v>0</v>
      </c>
      <c r="U351" s="167">
        <f>LOOKUP(U$2,'Depreciation Schedules'!$A$3:$A$42,'Depreciation Schedules'!$E$3:$E$42)</f>
        <v>0</v>
      </c>
      <c r="V351" s="167">
        <f>LOOKUP(V$2,'Depreciation Schedules'!$A$3:$A$42,'Depreciation Schedules'!$E$3:$E$42)</f>
        <v>0</v>
      </c>
      <c r="W351" s="167">
        <f>LOOKUP(W$2,'Depreciation Schedules'!$A$3:$A$42,'Depreciation Schedules'!$E$3:$E$42)</f>
        <v>0</v>
      </c>
      <c r="X351" s="167">
        <f>LOOKUP(X$2,'Depreciation Schedules'!$A$3:$A$42,'Depreciation Schedules'!$E$3:$E$42)</f>
        <v>0</v>
      </c>
      <c r="Y351" s="167">
        <f>LOOKUP(Y$2,'Depreciation Schedules'!$A$3:$A$42,'Depreciation Schedules'!$E$3:$E$42)</f>
        <v>0</v>
      </c>
      <c r="Z351" s="167">
        <f>LOOKUP(Z$2,'Depreciation Schedules'!$A$3:$A$42,'Depreciation Schedules'!$E$3:$E$42)</f>
        <v>0</v>
      </c>
      <c r="AA351" s="167">
        <f>LOOKUP(AA$2,'Depreciation Schedules'!$A$3:$A$42,'Depreciation Schedules'!$E$3:$E$42)</f>
        <v>0</v>
      </c>
      <c r="AB351" s="167">
        <f>LOOKUP(AB$2,'Depreciation Schedules'!$A$3:$A$42,'Depreciation Schedules'!$E$3:$E$42)</f>
        <v>0</v>
      </c>
      <c r="AC351" s="167">
        <f>LOOKUP(AC$2,'Depreciation Schedules'!$A$3:$A$42,'Depreciation Schedules'!$E$3:$E$42)</f>
        <v>0</v>
      </c>
      <c r="AD351" s="167">
        <f>LOOKUP(AD$2,'Depreciation Schedules'!$A$3:$A$42,'Depreciation Schedules'!$E$3:$E$42)</f>
        <v>0</v>
      </c>
      <c r="AE351" s="167">
        <f>LOOKUP(AE$2,'Depreciation Schedules'!$A$3:$A$42,'Depreciation Schedules'!$E$3:$E$42)</f>
        <v>0</v>
      </c>
      <c r="AF351" s="167">
        <f>LOOKUP(AF$2,'Depreciation Schedules'!$A$3:$A$42,'Depreciation Schedules'!$E$3:$E$42)</f>
        <v>0</v>
      </c>
      <c r="AG351" s="167">
        <f>LOOKUP(AG$2,'Depreciation Schedules'!$A$3:$A$42,'Depreciation Schedules'!$E$3:$E$42)</f>
        <v>0</v>
      </c>
      <c r="AH351" s="167">
        <f>LOOKUP(AH$2,'Depreciation Schedules'!$A$3:$A$42,'Depreciation Schedules'!$E$3:$E$42)</f>
        <v>0</v>
      </c>
      <c r="AI351" s="167">
        <f>LOOKUP(AI$2,'Depreciation Schedules'!$A$3:$A$42,'Depreciation Schedules'!$E$3:$E$42)</f>
        <v>0</v>
      </c>
      <c r="AJ351" s="167">
        <f>LOOKUP(AJ$2,'Depreciation Schedules'!$A$3:$A$42,'Depreciation Schedules'!$E$3:$E$42)</f>
        <v>0</v>
      </c>
      <c r="AK351" s="167">
        <f>LOOKUP(AK$2,'Depreciation Schedules'!$A$3:$A$42,'Depreciation Schedules'!$E$3:$E$42)</f>
        <v>0</v>
      </c>
      <c r="AL351" s="167">
        <f>LOOKUP(AL$2,'Depreciation Schedules'!$A$3:$A$42,'Depreciation Schedules'!$E$3:$E$42)</f>
        <v>0</v>
      </c>
      <c r="AM351" s="167">
        <f>LOOKUP(AM$2,'Depreciation Schedules'!$A$3:$A$42,'Depreciation Schedules'!$E$3:$E$42)</f>
        <v>0</v>
      </c>
      <c r="AN351" s="167">
        <f>LOOKUP(AN$2,'Depreciation Schedules'!$A$3:$A$42,'Depreciation Schedules'!$E$3:$E$42)</f>
        <v>0</v>
      </c>
      <c r="AO351" s="167">
        <f>LOOKUP(AO$2,'Depreciation Schedules'!$A$3:$A$42,'Depreciation Schedules'!$E$3:$E$42)</f>
        <v>0</v>
      </c>
      <c r="AP351" s="167">
        <f>LOOKUP(AP$2,'Depreciation Schedules'!$A$3:$A$42,'Depreciation Schedules'!$E$3:$E$42)</f>
        <v>0</v>
      </c>
    </row>
    <row r="352" spans="1:42" x14ac:dyDescent="0.2">
      <c r="A352" s="23" t="str">
        <f t="shared" si="130"/>
        <v>20-yr SL</v>
      </c>
      <c r="B352" s="166">
        <f t="array" ref="B352">SUM(IF(ISNUMBER(C352:AP352),C352:AP352))</f>
        <v>100</v>
      </c>
      <c r="C352" s="167">
        <f>LOOKUP(C$2,'Depreciation Schedules'!$A$3:$A$42,'Depreciation Schedules'!$F$3:$F$42)</f>
        <v>2.5</v>
      </c>
      <c r="D352" s="167">
        <f>LOOKUP(D$2,'Depreciation Schedules'!$A$3:$A$42,'Depreciation Schedules'!$F$3:$F$42)</f>
        <v>5</v>
      </c>
      <c r="E352" s="167">
        <f>LOOKUP(E$2,'Depreciation Schedules'!$A$3:$A$42,'Depreciation Schedules'!$F$3:$F$42)</f>
        <v>5</v>
      </c>
      <c r="F352" s="167">
        <f>LOOKUP(F$2,'Depreciation Schedules'!$A$3:$A$42,'Depreciation Schedules'!$F$3:$F$42)</f>
        <v>5</v>
      </c>
      <c r="G352" s="167">
        <f>LOOKUP(G$2,'Depreciation Schedules'!$A$3:$A$42,'Depreciation Schedules'!$F$3:$F$42)</f>
        <v>5</v>
      </c>
      <c r="H352" s="167">
        <f>LOOKUP(H$2,'Depreciation Schedules'!$A$3:$A$42,'Depreciation Schedules'!$F$3:$F$42)</f>
        <v>5</v>
      </c>
      <c r="I352" s="167">
        <f>LOOKUP(I$2,'Depreciation Schedules'!$A$3:$A$42,'Depreciation Schedules'!$F$3:$F$42)</f>
        <v>5</v>
      </c>
      <c r="J352" s="167">
        <f>LOOKUP(J$2,'Depreciation Schedules'!$A$3:$A$42,'Depreciation Schedules'!$F$3:$F$42)</f>
        <v>5</v>
      </c>
      <c r="K352" s="167">
        <f>LOOKUP(K$2,'Depreciation Schedules'!$A$3:$A$42,'Depreciation Schedules'!$F$3:$F$42)</f>
        <v>5</v>
      </c>
      <c r="L352" s="167">
        <f>LOOKUP(L$2,'Depreciation Schedules'!$A$3:$A$42,'Depreciation Schedules'!$F$3:$F$42)</f>
        <v>5</v>
      </c>
      <c r="M352" s="167">
        <f>LOOKUP(M$2,'Depreciation Schedules'!$A$3:$A$42,'Depreciation Schedules'!$F$3:$F$42)</f>
        <v>5</v>
      </c>
      <c r="N352" s="167">
        <f>LOOKUP(N$2,'Depreciation Schedules'!$A$3:$A$42,'Depreciation Schedules'!$F$3:$F$42)</f>
        <v>5</v>
      </c>
      <c r="O352" s="167">
        <f>LOOKUP(O$2,'Depreciation Schedules'!$A$3:$A$42,'Depreciation Schedules'!$F$3:$F$42)</f>
        <v>5</v>
      </c>
      <c r="P352" s="167">
        <f>LOOKUP(P$2,'Depreciation Schedules'!$A$3:$A$42,'Depreciation Schedules'!$F$3:$F$42)</f>
        <v>5</v>
      </c>
      <c r="Q352" s="167">
        <f>LOOKUP(Q$2,'Depreciation Schedules'!$A$3:$A$42,'Depreciation Schedules'!$F$3:$F$42)</f>
        <v>5</v>
      </c>
      <c r="R352" s="167">
        <f>LOOKUP(R$2,'Depreciation Schedules'!$A$3:$A$42,'Depreciation Schedules'!$F$3:$F$42)</f>
        <v>5</v>
      </c>
      <c r="S352" s="167">
        <f>LOOKUP(S$2,'Depreciation Schedules'!$A$3:$A$42,'Depreciation Schedules'!$F$3:$F$42)</f>
        <v>5</v>
      </c>
      <c r="T352" s="167">
        <f>LOOKUP(T$2,'Depreciation Schedules'!$A$3:$A$42,'Depreciation Schedules'!$F$3:$F$42)</f>
        <v>5</v>
      </c>
      <c r="U352" s="167">
        <f>LOOKUP(U$2,'Depreciation Schedules'!$A$3:$A$42,'Depreciation Schedules'!$F$3:$F$42)</f>
        <v>5</v>
      </c>
      <c r="V352" s="167">
        <f>LOOKUP(V$2,'Depreciation Schedules'!$A$3:$A$42,'Depreciation Schedules'!$F$3:$F$42)</f>
        <v>5</v>
      </c>
      <c r="W352" s="167">
        <f>LOOKUP(W$2,'Depreciation Schedules'!$A$3:$A$42,'Depreciation Schedules'!$F$3:$F$42)</f>
        <v>2.5</v>
      </c>
      <c r="X352" s="167">
        <f>LOOKUP(X$2,'Depreciation Schedules'!$A$3:$A$42,'Depreciation Schedules'!$F$3:$F$42)</f>
        <v>0</v>
      </c>
      <c r="Y352" s="167">
        <f>LOOKUP(Y$2,'Depreciation Schedules'!$A$3:$A$42,'Depreciation Schedules'!$F$3:$F$42)</f>
        <v>0</v>
      </c>
      <c r="Z352" s="167">
        <f>LOOKUP(Z$2,'Depreciation Schedules'!$A$3:$A$42,'Depreciation Schedules'!$F$3:$F$42)</f>
        <v>0</v>
      </c>
      <c r="AA352" s="167">
        <f>LOOKUP(AA$2,'Depreciation Schedules'!$A$3:$A$42,'Depreciation Schedules'!$F$3:$F$42)</f>
        <v>0</v>
      </c>
      <c r="AB352" s="167">
        <f>LOOKUP(AB$2,'Depreciation Schedules'!$A$3:$A$42,'Depreciation Schedules'!$F$3:$F$42)</f>
        <v>0</v>
      </c>
      <c r="AC352" s="167">
        <f>LOOKUP(AC$2,'Depreciation Schedules'!$A$3:$A$42,'Depreciation Schedules'!$F$3:$F$42)</f>
        <v>0</v>
      </c>
      <c r="AD352" s="167">
        <f>LOOKUP(AD$2,'Depreciation Schedules'!$A$3:$A$42,'Depreciation Schedules'!$F$3:$F$42)</f>
        <v>0</v>
      </c>
      <c r="AE352" s="167">
        <f>LOOKUP(AE$2,'Depreciation Schedules'!$A$3:$A$42,'Depreciation Schedules'!$F$3:$F$42)</f>
        <v>0</v>
      </c>
      <c r="AF352" s="167">
        <f>LOOKUP(AF$2,'Depreciation Schedules'!$A$3:$A$42,'Depreciation Schedules'!$F$3:$F$42)</f>
        <v>0</v>
      </c>
      <c r="AG352" s="167">
        <f>LOOKUP(AG$2,'Depreciation Schedules'!$A$3:$A$42,'Depreciation Schedules'!$F$3:$F$42)</f>
        <v>0</v>
      </c>
      <c r="AH352" s="167">
        <f>LOOKUP(AH$2,'Depreciation Schedules'!$A$3:$A$42,'Depreciation Schedules'!$F$3:$F$42)</f>
        <v>0</v>
      </c>
      <c r="AI352" s="167">
        <f>LOOKUP(AI$2,'Depreciation Schedules'!$A$3:$A$42,'Depreciation Schedules'!$F$3:$F$42)</f>
        <v>0</v>
      </c>
      <c r="AJ352" s="167">
        <f>LOOKUP(AJ$2,'Depreciation Schedules'!$A$3:$A$42,'Depreciation Schedules'!$F$3:$F$42)</f>
        <v>0</v>
      </c>
      <c r="AK352" s="167">
        <f>LOOKUP(AK$2,'Depreciation Schedules'!$A$3:$A$42,'Depreciation Schedules'!$F$3:$F$42)</f>
        <v>0</v>
      </c>
      <c r="AL352" s="167">
        <f>LOOKUP(AL$2,'Depreciation Schedules'!$A$3:$A$42,'Depreciation Schedules'!$F$3:$F$42)</f>
        <v>0</v>
      </c>
      <c r="AM352" s="167">
        <f>LOOKUP(AM$2,'Depreciation Schedules'!$A$3:$A$42,'Depreciation Schedules'!$F$3:$F$42)</f>
        <v>0</v>
      </c>
      <c r="AN352" s="167">
        <f>LOOKUP(AN$2,'Depreciation Schedules'!$A$3:$A$42,'Depreciation Schedules'!$F$3:$F$42)</f>
        <v>0</v>
      </c>
      <c r="AO352" s="167">
        <f>LOOKUP(AO$2,'Depreciation Schedules'!$A$3:$A$42,'Depreciation Schedules'!$F$3:$F$42)</f>
        <v>0</v>
      </c>
      <c r="AP352" s="167">
        <f>LOOKUP(AP$2,'Depreciation Schedules'!$A$3:$A$42,'Depreciation Schedules'!$F$3:$F$42)</f>
        <v>0</v>
      </c>
    </row>
    <row r="353" spans="1:42" x14ac:dyDescent="0.2">
      <c r="A353" s="23" t="str">
        <f t="shared" si="130"/>
        <v>39-yr SL</v>
      </c>
      <c r="B353" s="170">
        <f>SUM(IF(ISNUMBER(C353:AP353),C353:AP353))</f>
        <v>0</v>
      </c>
      <c r="C353" s="167">
        <f>LOOKUP(C$2,'Depreciation Schedules'!$A$3:$A$42,'Depreciation Schedules'!$G$3:$G$42)</f>
        <v>1.2820512820512799</v>
      </c>
      <c r="D353" s="167">
        <f>LOOKUP(D$2,'Depreciation Schedules'!$A$3:$A$42,'Depreciation Schedules'!$G$3:$G$42)</f>
        <v>2.5641025641025599</v>
      </c>
      <c r="E353" s="167">
        <f>LOOKUP(E$2,'Depreciation Schedules'!$A$3:$A$42,'Depreciation Schedules'!$G$3:$G$42)</f>
        <v>2.5641025641025599</v>
      </c>
      <c r="F353" s="167">
        <f>LOOKUP(F$2,'Depreciation Schedules'!$A$3:$A$42,'Depreciation Schedules'!$G$3:$G$42)</f>
        <v>2.5641025641025599</v>
      </c>
      <c r="G353" s="167">
        <f>LOOKUP(G$2,'Depreciation Schedules'!$A$3:$A$42,'Depreciation Schedules'!$G$3:$G$42)</f>
        <v>2.5641025641025599</v>
      </c>
      <c r="H353" s="167">
        <f>LOOKUP(H$2,'Depreciation Schedules'!$A$3:$A$42,'Depreciation Schedules'!$G$3:$G$42)</f>
        <v>2.5641025641025599</v>
      </c>
      <c r="I353" s="167">
        <f>LOOKUP(I$2,'Depreciation Schedules'!$A$3:$A$42,'Depreciation Schedules'!$G$3:$G$42)</f>
        <v>2.5641025641025599</v>
      </c>
      <c r="J353" s="167">
        <f>LOOKUP(J$2,'Depreciation Schedules'!$A$3:$A$42,'Depreciation Schedules'!$G$3:$G$42)</f>
        <v>2.5641025641025599</v>
      </c>
      <c r="K353" s="167">
        <f>LOOKUP(K$2,'Depreciation Schedules'!$A$3:$A$42,'Depreciation Schedules'!$G$3:$G$42)</f>
        <v>2.5641025641025599</v>
      </c>
      <c r="L353" s="167">
        <f>LOOKUP(L$2,'Depreciation Schedules'!$A$3:$A$42,'Depreciation Schedules'!$G$3:$G$42)</f>
        <v>2.5641025641025599</v>
      </c>
      <c r="M353" s="167">
        <f>LOOKUP(M$2,'Depreciation Schedules'!$A$3:$A$42,'Depreciation Schedules'!$G$3:$G$42)</f>
        <v>2.5641025641025599</v>
      </c>
      <c r="N353" s="167">
        <f>LOOKUP(N$2,'Depreciation Schedules'!$A$3:$A$42,'Depreciation Schedules'!$G$3:$G$42)</f>
        <v>2.5641025641025599</v>
      </c>
      <c r="O353" s="167">
        <f>LOOKUP(O$2,'Depreciation Schedules'!$A$3:$A$42,'Depreciation Schedules'!$G$3:$G$42)</f>
        <v>2.5641025641025599</v>
      </c>
      <c r="P353" s="167">
        <f>LOOKUP(P$2,'Depreciation Schedules'!$A$3:$A$42,'Depreciation Schedules'!$G$3:$G$42)</f>
        <v>2.5641025641025599</v>
      </c>
      <c r="Q353" s="167">
        <f>LOOKUP(Q$2,'Depreciation Schedules'!$A$3:$A$42,'Depreciation Schedules'!$G$3:$G$42)</f>
        <v>2.5641025641025599</v>
      </c>
      <c r="R353" s="167">
        <f>LOOKUP(R$2,'Depreciation Schedules'!$A$3:$A$42,'Depreciation Schedules'!$G$3:$G$42)</f>
        <v>2.5641025641025599</v>
      </c>
      <c r="S353" s="167">
        <f>LOOKUP(S$2,'Depreciation Schedules'!$A$3:$A$42,'Depreciation Schedules'!$G$3:$G$42)</f>
        <v>2.5641025641025599</v>
      </c>
      <c r="T353" s="167">
        <f>LOOKUP(T$2,'Depreciation Schedules'!$A$3:$A$42,'Depreciation Schedules'!$G$3:$G$42)</f>
        <v>2.5641025641025599</v>
      </c>
      <c r="U353" s="167">
        <f>LOOKUP(U$2,'Depreciation Schedules'!$A$3:$A$42,'Depreciation Schedules'!$G$3:$G$42)</f>
        <v>2.5641025641025599</v>
      </c>
      <c r="V353" s="167">
        <f>LOOKUP(V$2,'Depreciation Schedules'!$A$3:$A$42,'Depreciation Schedules'!$G$3:$G$42)</f>
        <v>2.5641025641025599</v>
      </c>
      <c r="W353" s="167">
        <f>LOOKUP(W$2,'Depreciation Schedules'!$A$3:$A$42,'Depreciation Schedules'!$G$3:$G$42)</f>
        <v>2.5641025641025599</v>
      </c>
      <c r="X353" s="167">
        <f>LOOKUP(X$2,'Depreciation Schedules'!$A$3:$A$42,'Depreciation Schedules'!$G$3:$G$42)</f>
        <v>2.5641025641025599</v>
      </c>
      <c r="Y353" s="167">
        <f>LOOKUP(Y$2,'Depreciation Schedules'!$A$3:$A$42,'Depreciation Schedules'!$G$3:$G$42)</f>
        <v>2.5641025641025599</v>
      </c>
      <c r="Z353" s="167">
        <f>LOOKUP(Z$2,'Depreciation Schedules'!$A$3:$A$42,'Depreciation Schedules'!$G$3:$G$42)</f>
        <v>2.5641025641025599</v>
      </c>
      <c r="AA353" s="167">
        <f>LOOKUP(AA$2,'Depreciation Schedules'!$A$3:$A$42,'Depreciation Schedules'!$G$3:$G$42)</f>
        <v>2.5641025641025599</v>
      </c>
      <c r="AB353" s="167">
        <f>LOOKUP(AB$2,'Depreciation Schedules'!$A$3:$A$42,'Depreciation Schedules'!$G$3:$G$42)</f>
        <v>2.5641025641025599</v>
      </c>
      <c r="AC353" s="167">
        <f>LOOKUP(AC$2,'Depreciation Schedules'!$A$3:$A$42,'Depreciation Schedules'!$G$3:$G$42)</f>
        <v>2.5641025641025599</v>
      </c>
      <c r="AD353" s="167">
        <f>LOOKUP(AD$2,'Depreciation Schedules'!$A$3:$A$42,'Depreciation Schedules'!$G$3:$G$42)</f>
        <v>2.5641025641025599</v>
      </c>
      <c r="AE353" s="167">
        <f>LOOKUP(AE$2,'Depreciation Schedules'!$A$3:$A$42,'Depreciation Schedules'!$G$3:$G$42)</f>
        <v>2.5641025641025599</v>
      </c>
      <c r="AF353" s="167">
        <f>LOOKUP(AF$2,'Depreciation Schedules'!$A$3:$A$42,'Depreciation Schedules'!$G$3:$G$42)</f>
        <v>2.5641025641025599</v>
      </c>
      <c r="AG353" s="167">
        <f>LOOKUP(AG$2,'Depreciation Schedules'!$A$3:$A$42,'Depreciation Schedules'!$G$3:$G$42)</f>
        <v>2.5641025641025599</v>
      </c>
      <c r="AH353" s="167">
        <f>LOOKUP(AH$2,'Depreciation Schedules'!$A$3:$A$42,'Depreciation Schedules'!$G$3:$G$42)</f>
        <v>2.5641025641025599</v>
      </c>
      <c r="AI353" s="167">
        <f>LOOKUP(AI$2,'Depreciation Schedules'!$A$3:$A$42,'Depreciation Schedules'!$G$3:$G$42)</f>
        <v>2.5641025641025599</v>
      </c>
      <c r="AJ353" s="167">
        <f>LOOKUP(AJ$2,'Depreciation Schedules'!$A$3:$A$42,'Depreciation Schedules'!$G$3:$G$42)</f>
        <v>2.5641025641025599</v>
      </c>
      <c r="AK353" s="167">
        <f>LOOKUP(AK$2,'Depreciation Schedules'!$A$3:$A$42,'Depreciation Schedules'!$G$3:$G$42)</f>
        <v>2.5641025641025599</v>
      </c>
      <c r="AL353" s="167">
        <f>LOOKUP(AL$2,'Depreciation Schedules'!$A$3:$A$42,'Depreciation Schedules'!$G$3:$G$42)</f>
        <v>2.5641025641025599</v>
      </c>
      <c r="AM353" s="167">
        <f>LOOKUP(AM$2,'Depreciation Schedules'!$A$3:$A$42,'Depreciation Schedules'!$G$3:$G$42)</f>
        <v>2.5641025641025599</v>
      </c>
      <c r="AN353" s="167">
        <f>LOOKUP(AN$2,'Depreciation Schedules'!$A$3:$A$42,'Depreciation Schedules'!$G$3:$G$42)</f>
        <v>2.5641025641025599</v>
      </c>
      <c r="AO353" s="167">
        <f>LOOKUP(AO$2,'Depreciation Schedules'!$A$3:$A$42,'Depreciation Schedules'!$G$3:$G$42)</f>
        <v>2.5641025641025599</v>
      </c>
      <c r="AP353" s="167">
        <f>LOOKUP(AP$2,'Depreciation Schedules'!$A$3:$A$42,'Depreciation Schedules'!$G$3:$G$42)</f>
        <v>1.2820512820512799</v>
      </c>
    </row>
    <row r="354" spans="1:42" x14ac:dyDescent="0.2">
      <c r="A354" s="23" t="s">
        <v>243</v>
      </c>
      <c r="B354" s="170">
        <f>SUM(IF(ISNUMBER(C354:AP354),C354:AP354))</f>
        <v>0</v>
      </c>
      <c r="C354" s="167">
        <f t="array" ref="C354:AP354">Inputs!D193:AQ193</f>
        <v>0</v>
      </c>
      <c r="D354" s="167">
        <v>0</v>
      </c>
      <c r="E354" s="167">
        <v>0</v>
      </c>
      <c r="F354" s="167">
        <v>0</v>
      </c>
      <c r="G354" s="167">
        <v>0</v>
      </c>
      <c r="H354" s="167">
        <v>0</v>
      </c>
      <c r="I354" s="167">
        <v>0</v>
      </c>
      <c r="J354" s="167">
        <v>0</v>
      </c>
      <c r="K354" s="167">
        <v>0</v>
      </c>
      <c r="L354" s="167">
        <v>0</v>
      </c>
      <c r="M354" s="167">
        <v>0</v>
      </c>
      <c r="N354" s="167">
        <v>0</v>
      </c>
      <c r="O354" s="167">
        <v>0</v>
      </c>
      <c r="P354" s="167">
        <v>0</v>
      </c>
      <c r="Q354" s="167">
        <v>0</v>
      </c>
      <c r="R354" s="167">
        <v>0</v>
      </c>
      <c r="S354" s="167">
        <v>0</v>
      </c>
      <c r="T354" s="167">
        <v>0</v>
      </c>
      <c r="U354" s="167">
        <v>0</v>
      </c>
      <c r="V354" s="167">
        <v>0</v>
      </c>
      <c r="W354" s="167">
        <v>0</v>
      </c>
      <c r="X354" s="167">
        <v>0</v>
      </c>
      <c r="Y354" s="167">
        <v>0</v>
      </c>
      <c r="Z354" s="167">
        <v>0</v>
      </c>
      <c r="AA354" s="167">
        <v>0</v>
      </c>
      <c r="AB354" s="167">
        <v>0</v>
      </c>
      <c r="AC354" s="167">
        <v>0</v>
      </c>
      <c r="AD354" s="167">
        <v>0</v>
      </c>
      <c r="AE354" s="167">
        <v>0</v>
      </c>
      <c r="AF354" s="167">
        <v>0</v>
      </c>
      <c r="AG354" s="167">
        <v>0</v>
      </c>
      <c r="AH354" s="167">
        <v>0</v>
      </c>
      <c r="AI354" s="167">
        <v>0</v>
      </c>
      <c r="AJ354" s="167">
        <v>0</v>
      </c>
      <c r="AK354" s="167">
        <v>0</v>
      </c>
      <c r="AL354" s="167">
        <v>0</v>
      </c>
      <c r="AM354" s="167">
        <v>0</v>
      </c>
      <c r="AN354" s="167">
        <v>0</v>
      </c>
      <c r="AO354" s="167">
        <v>0</v>
      </c>
      <c r="AP354" s="167">
        <v>0</v>
      </c>
    </row>
    <row r="355" spans="1:42" x14ac:dyDescent="0.2">
      <c r="A355" s="22" t="s">
        <v>3</v>
      </c>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row>
    <row r="356" spans="1:42" x14ac:dyDescent="0.2">
      <c r="A356" s="23" t="str">
        <f t="shared" ref="A356:A361" si="131">A348</f>
        <v>5-yr MACRS</v>
      </c>
      <c r="B356" s="171">
        <f>SUM(IF(ISNUMBER(C356:AP356),C356:AP356))</f>
        <v>0</v>
      </c>
      <c r="C356" s="119">
        <f>C348/100*$Q$315</f>
        <v>17134435.9575</v>
      </c>
      <c r="D356" s="119">
        <f t="shared" ref="D356:AP356" si="132">D348/100*$Q$315</f>
        <v>27415097.531999998</v>
      </c>
      <c r="E356" s="119">
        <f t="shared" si="132"/>
        <v>16449058.519199999</v>
      </c>
      <c r="F356" s="119">
        <f t="shared" si="132"/>
        <v>9869435.1115199998</v>
      </c>
      <c r="G356" s="119">
        <f t="shared" si="132"/>
        <v>9869435.1115199998</v>
      </c>
      <c r="H356" s="119">
        <f t="shared" si="132"/>
        <v>4934717.5557599999</v>
      </c>
      <c r="I356" s="119">
        <f t="shared" si="132"/>
        <v>0</v>
      </c>
      <c r="J356" s="119">
        <f t="shared" si="132"/>
        <v>0</v>
      </c>
      <c r="K356" s="119">
        <f t="shared" si="132"/>
        <v>0</v>
      </c>
      <c r="L356" s="119">
        <f t="shared" si="132"/>
        <v>0</v>
      </c>
      <c r="M356" s="119">
        <f t="shared" si="132"/>
        <v>0</v>
      </c>
      <c r="N356" s="119">
        <f t="shared" si="132"/>
        <v>0</v>
      </c>
      <c r="O356" s="119">
        <f t="shared" si="132"/>
        <v>0</v>
      </c>
      <c r="P356" s="119">
        <f t="shared" si="132"/>
        <v>0</v>
      </c>
      <c r="Q356" s="119">
        <f t="shared" si="132"/>
        <v>0</v>
      </c>
      <c r="R356" s="119">
        <f t="shared" si="132"/>
        <v>0</v>
      </c>
      <c r="S356" s="119">
        <f t="shared" si="132"/>
        <v>0</v>
      </c>
      <c r="T356" s="119">
        <f t="shared" si="132"/>
        <v>0</v>
      </c>
      <c r="U356" s="119">
        <f t="shared" si="132"/>
        <v>0</v>
      </c>
      <c r="V356" s="119">
        <f t="shared" si="132"/>
        <v>0</v>
      </c>
      <c r="W356" s="119">
        <f t="shared" si="132"/>
        <v>0</v>
      </c>
      <c r="X356" s="119">
        <f t="shared" si="132"/>
        <v>0</v>
      </c>
      <c r="Y356" s="119">
        <f t="shared" si="132"/>
        <v>0</v>
      </c>
      <c r="Z356" s="119">
        <f t="shared" si="132"/>
        <v>0</v>
      </c>
      <c r="AA356" s="119">
        <f t="shared" si="132"/>
        <v>0</v>
      </c>
      <c r="AB356" s="119">
        <f t="shared" si="132"/>
        <v>0</v>
      </c>
      <c r="AC356" s="119">
        <f t="shared" si="132"/>
        <v>0</v>
      </c>
      <c r="AD356" s="119">
        <f t="shared" si="132"/>
        <v>0</v>
      </c>
      <c r="AE356" s="119">
        <f t="shared" si="132"/>
        <v>0</v>
      </c>
      <c r="AF356" s="119">
        <f t="shared" si="132"/>
        <v>0</v>
      </c>
      <c r="AG356" s="119">
        <f t="shared" si="132"/>
        <v>0</v>
      </c>
      <c r="AH356" s="119">
        <f t="shared" si="132"/>
        <v>0</v>
      </c>
      <c r="AI356" s="119">
        <f t="shared" si="132"/>
        <v>0</v>
      </c>
      <c r="AJ356" s="119">
        <f t="shared" si="132"/>
        <v>0</v>
      </c>
      <c r="AK356" s="119">
        <f t="shared" si="132"/>
        <v>0</v>
      </c>
      <c r="AL356" s="119">
        <f t="shared" si="132"/>
        <v>0</v>
      </c>
      <c r="AM356" s="119">
        <f t="shared" si="132"/>
        <v>0</v>
      </c>
      <c r="AN356" s="119">
        <f t="shared" si="132"/>
        <v>0</v>
      </c>
      <c r="AO356" s="119">
        <f t="shared" si="132"/>
        <v>0</v>
      </c>
      <c r="AP356" s="119">
        <f t="shared" si="132"/>
        <v>0</v>
      </c>
    </row>
    <row r="357" spans="1:42" x14ac:dyDescent="0.2">
      <c r="A357" s="23" t="str">
        <f t="shared" si="131"/>
        <v>15-yr MACRS</v>
      </c>
      <c r="B357" s="171">
        <f t="array" ref="B357">SUM(IF(ISNUMBER(C357:AP357),C357:AP357))</f>
        <v>1679678.6778337501</v>
      </c>
      <c r="C357" s="119">
        <f>C349/100*$Q$316</f>
        <v>83992.333125000005</v>
      </c>
      <c r="D357" s="119">
        <f t="shared" ref="D357:AP357" si="133">D349/100*$Q$316</f>
        <v>159585.43293750001</v>
      </c>
      <c r="E357" s="119">
        <f t="shared" si="133"/>
        <v>143626.88964375001</v>
      </c>
      <c r="F357" s="119">
        <f t="shared" si="133"/>
        <v>129348.19301250001</v>
      </c>
      <c r="G357" s="119">
        <f t="shared" si="133"/>
        <v>116413.37371125001</v>
      </c>
      <c r="H357" s="119">
        <f t="shared" si="133"/>
        <v>104654.44707375001</v>
      </c>
      <c r="I357" s="119">
        <f t="shared" si="133"/>
        <v>99110.953087500005</v>
      </c>
      <c r="J357" s="119">
        <f t="shared" si="133"/>
        <v>99110.953087500005</v>
      </c>
      <c r="K357" s="119">
        <f t="shared" si="133"/>
        <v>99278.937753750011</v>
      </c>
      <c r="L357" s="119">
        <f t="shared" si="133"/>
        <v>99110.953087500005</v>
      </c>
      <c r="M357" s="119">
        <f t="shared" si="133"/>
        <v>99278.937753750011</v>
      </c>
      <c r="N357" s="119">
        <f t="shared" si="133"/>
        <v>99110.953087500005</v>
      </c>
      <c r="O357" s="119">
        <f t="shared" si="133"/>
        <v>99278.937753750011</v>
      </c>
      <c r="P357" s="119">
        <f t="shared" si="133"/>
        <v>99110.953087500005</v>
      </c>
      <c r="Q357" s="119">
        <f t="shared" si="133"/>
        <v>99110.953087500005</v>
      </c>
      <c r="R357" s="119">
        <f t="shared" si="133"/>
        <v>49555.476543750003</v>
      </c>
      <c r="S357" s="119">
        <f t="shared" si="133"/>
        <v>0</v>
      </c>
      <c r="T357" s="119">
        <f t="shared" si="133"/>
        <v>0</v>
      </c>
      <c r="U357" s="119">
        <f t="shared" si="133"/>
        <v>0</v>
      </c>
      <c r="V357" s="119">
        <f t="shared" si="133"/>
        <v>0</v>
      </c>
      <c r="W357" s="119">
        <f t="shared" si="133"/>
        <v>0</v>
      </c>
      <c r="X357" s="119">
        <f t="shared" si="133"/>
        <v>0</v>
      </c>
      <c r="Y357" s="119">
        <f t="shared" si="133"/>
        <v>0</v>
      </c>
      <c r="Z357" s="119">
        <f t="shared" si="133"/>
        <v>0</v>
      </c>
      <c r="AA357" s="119">
        <f t="shared" si="133"/>
        <v>0</v>
      </c>
      <c r="AB357" s="119">
        <f t="shared" si="133"/>
        <v>0</v>
      </c>
      <c r="AC357" s="119">
        <f t="shared" si="133"/>
        <v>0</v>
      </c>
      <c r="AD357" s="119">
        <f t="shared" si="133"/>
        <v>0</v>
      </c>
      <c r="AE357" s="119">
        <f t="shared" si="133"/>
        <v>0</v>
      </c>
      <c r="AF357" s="119">
        <f t="shared" si="133"/>
        <v>0</v>
      </c>
      <c r="AG357" s="119">
        <f t="shared" si="133"/>
        <v>0</v>
      </c>
      <c r="AH357" s="119">
        <f t="shared" si="133"/>
        <v>0</v>
      </c>
      <c r="AI357" s="119">
        <f t="shared" si="133"/>
        <v>0</v>
      </c>
      <c r="AJ357" s="119">
        <f t="shared" si="133"/>
        <v>0</v>
      </c>
      <c r="AK357" s="119">
        <f t="shared" si="133"/>
        <v>0</v>
      </c>
      <c r="AL357" s="119">
        <f t="shared" si="133"/>
        <v>0</v>
      </c>
      <c r="AM357" s="119">
        <f t="shared" si="133"/>
        <v>0</v>
      </c>
      <c r="AN357" s="119">
        <f t="shared" si="133"/>
        <v>0</v>
      </c>
      <c r="AO357" s="119">
        <f t="shared" si="133"/>
        <v>0</v>
      </c>
      <c r="AP357" s="119">
        <f t="shared" si="133"/>
        <v>0</v>
      </c>
    </row>
    <row r="358" spans="1:42" x14ac:dyDescent="0.2">
      <c r="A358" s="23" t="str">
        <f t="shared" si="131"/>
        <v>5-yr SL</v>
      </c>
      <c r="B358" s="171">
        <f t="array" ref="B358">SUM(IF(ISNUMBER(C358:AP358),C358:AP358))</f>
        <v>0</v>
      </c>
      <c r="C358" s="119">
        <f>C350/100*$Q$317</f>
        <v>0</v>
      </c>
      <c r="D358" s="119">
        <f t="shared" ref="D358:AP358" si="134">D350/100*$Q$317</f>
        <v>0</v>
      </c>
      <c r="E358" s="119">
        <f t="shared" si="134"/>
        <v>0</v>
      </c>
      <c r="F358" s="119">
        <f t="shared" si="134"/>
        <v>0</v>
      </c>
      <c r="G358" s="119">
        <f t="shared" si="134"/>
        <v>0</v>
      </c>
      <c r="H358" s="119">
        <f t="shared" si="134"/>
        <v>0</v>
      </c>
      <c r="I358" s="119">
        <f t="shared" si="134"/>
        <v>0</v>
      </c>
      <c r="J358" s="119">
        <f t="shared" si="134"/>
        <v>0</v>
      </c>
      <c r="K358" s="119">
        <f t="shared" si="134"/>
        <v>0</v>
      </c>
      <c r="L358" s="119">
        <f t="shared" si="134"/>
        <v>0</v>
      </c>
      <c r="M358" s="119">
        <f t="shared" si="134"/>
        <v>0</v>
      </c>
      <c r="N358" s="119">
        <f t="shared" si="134"/>
        <v>0</v>
      </c>
      <c r="O358" s="119">
        <f t="shared" si="134"/>
        <v>0</v>
      </c>
      <c r="P358" s="119">
        <f t="shared" si="134"/>
        <v>0</v>
      </c>
      <c r="Q358" s="119">
        <f t="shared" si="134"/>
        <v>0</v>
      </c>
      <c r="R358" s="119">
        <f t="shared" si="134"/>
        <v>0</v>
      </c>
      <c r="S358" s="119">
        <f t="shared" si="134"/>
        <v>0</v>
      </c>
      <c r="T358" s="119">
        <f t="shared" si="134"/>
        <v>0</v>
      </c>
      <c r="U358" s="119">
        <f t="shared" si="134"/>
        <v>0</v>
      </c>
      <c r="V358" s="119">
        <f t="shared" si="134"/>
        <v>0</v>
      </c>
      <c r="W358" s="119">
        <f t="shared" si="134"/>
        <v>0</v>
      </c>
      <c r="X358" s="119">
        <f t="shared" si="134"/>
        <v>0</v>
      </c>
      <c r="Y358" s="119">
        <f t="shared" si="134"/>
        <v>0</v>
      </c>
      <c r="Z358" s="119">
        <f t="shared" si="134"/>
        <v>0</v>
      </c>
      <c r="AA358" s="119">
        <f t="shared" si="134"/>
        <v>0</v>
      </c>
      <c r="AB358" s="119">
        <f t="shared" si="134"/>
        <v>0</v>
      </c>
      <c r="AC358" s="119">
        <f t="shared" si="134"/>
        <v>0</v>
      </c>
      <c r="AD358" s="119">
        <f t="shared" si="134"/>
        <v>0</v>
      </c>
      <c r="AE358" s="119">
        <f t="shared" si="134"/>
        <v>0</v>
      </c>
      <c r="AF358" s="119">
        <f t="shared" si="134"/>
        <v>0</v>
      </c>
      <c r="AG358" s="119">
        <f t="shared" si="134"/>
        <v>0</v>
      </c>
      <c r="AH358" s="119">
        <f t="shared" si="134"/>
        <v>0</v>
      </c>
      <c r="AI358" s="119">
        <f t="shared" si="134"/>
        <v>0</v>
      </c>
      <c r="AJ358" s="119">
        <f t="shared" si="134"/>
        <v>0</v>
      </c>
      <c r="AK358" s="119">
        <f t="shared" si="134"/>
        <v>0</v>
      </c>
      <c r="AL358" s="119">
        <f t="shared" si="134"/>
        <v>0</v>
      </c>
      <c r="AM358" s="119">
        <f t="shared" si="134"/>
        <v>0</v>
      </c>
      <c r="AN358" s="119">
        <f t="shared" si="134"/>
        <v>0</v>
      </c>
      <c r="AO358" s="119">
        <f t="shared" si="134"/>
        <v>0</v>
      </c>
      <c r="AP358" s="119">
        <f t="shared" si="134"/>
        <v>0</v>
      </c>
    </row>
    <row r="359" spans="1:42" x14ac:dyDescent="0.2">
      <c r="A359" s="23" t="str">
        <f t="shared" si="131"/>
        <v>15-yr SL</v>
      </c>
      <c r="B359" s="171">
        <f t="array" ref="B359">SUM(IF(ISNUMBER(C359:AP359),C359:AP359))</f>
        <v>2800304.3863875004</v>
      </c>
      <c r="C359" s="119">
        <f>C351/100*$Q$318</f>
        <v>93231.489768750005</v>
      </c>
      <c r="D359" s="119">
        <f t="shared" ref="D359:AP359" si="135">D351/100*$Q$318</f>
        <v>186742.95398125</v>
      </c>
      <c r="E359" s="119">
        <f t="shared" si="135"/>
        <v>186742.95398125</v>
      </c>
      <c r="F359" s="119">
        <f t="shared" si="135"/>
        <v>186742.95398125</v>
      </c>
      <c r="G359" s="119">
        <f t="shared" si="135"/>
        <v>186742.95398125</v>
      </c>
      <c r="H359" s="119">
        <f t="shared" si="135"/>
        <v>186742.95398125</v>
      </c>
      <c r="I359" s="119">
        <f t="shared" si="135"/>
        <v>186742.95398125</v>
      </c>
      <c r="J359" s="119">
        <f t="shared" si="135"/>
        <v>186742.95398125</v>
      </c>
      <c r="K359" s="119">
        <f t="shared" si="135"/>
        <v>186742.95398125</v>
      </c>
      <c r="L359" s="119">
        <f t="shared" si="135"/>
        <v>186742.95398125</v>
      </c>
      <c r="M359" s="119">
        <f t="shared" si="135"/>
        <v>186742.95398125</v>
      </c>
      <c r="N359" s="119">
        <f t="shared" si="135"/>
        <v>186462.97953750001</v>
      </c>
      <c r="O359" s="119">
        <f t="shared" si="135"/>
        <v>186742.95398125</v>
      </c>
      <c r="P359" s="119">
        <f t="shared" si="135"/>
        <v>186462.97953750001</v>
      </c>
      <c r="Q359" s="119">
        <f t="shared" si="135"/>
        <v>186742.95398125</v>
      </c>
      <c r="R359" s="119">
        <f t="shared" si="135"/>
        <v>93231.489768750005</v>
      </c>
      <c r="S359" s="119">
        <f t="shared" si="135"/>
        <v>0</v>
      </c>
      <c r="T359" s="119">
        <f t="shared" si="135"/>
        <v>0</v>
      </c>
      <c r="U359" s="119">
        <f t="shared" si="135"/>
        <v>0</v>
      </c>
      <c r="V359" s="119">
        <f t="shared" si="135"/>
        <v>0</v>
      </c>
      <c r="W359" s="119">
        <f t="shared" si="135"/>
        <v>0</v>
      </c>
      <c r="X359" s="119">
        <f t="shared" si="135"/>
        <v>0</v>
      </c>
      <c r="Y359" s="119">
        <f t="shared" si="135"/>
        <v>0</v>
      </c>
      <c r="Z359" s="119">
        <f t="shared" si="135"/>
        <v>0</v>
      </c>
      <c r="AA359" s="119">
        <f t="shared" si="135"/>
        <v>0</v>
      </c>
      <c r="AB359" s="119">
        <f t="shared" si="135"/>
        <v>0</v>
      </c>
      <c r="AC359" s="119">
        <f t="shared" si="135"/>
        <v>0</v>
      </c>
      <c r="AD359" s="119">
        <f t="shared" si="135"/>
        <v>0</v>
      </c>
      <c r="AE359" s="119">
        <f t="shared" si="135"/>
        <v>0</v>
      </c>
      <c r="AF359" s="119">
        <f t="shared" si="135"/>
        <v>0</v>
      </c>
      <c r="AG359" s="119">
        <f t="shared" si="135"/>
        <v>0</v>
      </c>
      <c r="AH359" s="119">
        <f t="shared" si="135"/>
        <v>0</v>
      </c>
      <c r="AI359" s="119">
        <f t="shared" si="135"/>
        <v>0</v>
      </c>
      <c r="AJ359" s="119">
        <f t="shared" si="135"/>
        <v>0</v>
      </c>
      <c r="AK359" s="119">
        <f t="shared" si="135"/>
        <v>0</v>
      </c>
      <c r="AL359" s="119">
        <f t="shared" si="135"/>
        <v>0</v>
      </c>
      <c r="AM359" s="119">
        <f t="shared" si="135"/>
        <v>0</v>
      </c>
      <c r="AN359" s="119">
        <f t="shared" si="135"/>
        <v>0</v>
      </c>
      <c r="AO359" s="119">
        <f t="shared" si="135"/>
        <v>0</v>
      </c>
      <c r="AP359" s="119">
        <f t="shared" si="135"/>
        <v>0</v>
      </c>
    </row>
    <row r="360" spans="1:42" x14ac:dyDescent="0.2">
      <c r="A360" s="23" t="str">
        <f t="shared" si="131"/>
        <v>20-yr SL</v>
      </c>
      <c r="B360" s="171">
        <f t="array" ref="B360">SUM(IF(ISNUMBER(C360:AP360),C360:AP360))</f>
        <v>3359693.3249999983</v>
      </c>
      <c r="C360" s="119">
        <f>C352/100*$Q$319</f>
        <v>83992.333125000005</v>
      </c>
      <c r="D360" s="119">
        <f t="shared" ref="D360:AP360" si="136">D352/100*$Q$319</f>
        <v>167984.66625000001</v>
      </c>
      <c r="E360" s="119">
        <f t="shared" si="136"/>
        <v>167984.66625000001</v>
      </c>
      <c r="F360" s="119">
        <f t="shared" si="136"/>
        <v>167984.66625000001</v>
      </c>
      <c r="G360" s="119">
        <f t="shared" si="136"/>
        <v>167984.66625000001</v>
      </c>
      <c r="H360" s="119">
        <f t="shared" si="136"/>
        <v>167984.66625000001</v>
      </c>
      <c r="I360" s="119">
        <f t="shared" si="136"/>
        <v>167984.66625000001</v>
      </c>
      <c r="J360" s="119">
        <f t="shared" si="136"/>
        <v>167984.66625000001</v>
      </c>
      <c r="K360" s="119">
        <f t="shared" si="136"/>
        <v>167984.66625000001</v>
      </c>
      <c r="L360" s="119">
        <f t="shared" si="136"/>
        <v>167984.66625000001</v>
      </c>
      <c r="M360" s="119">
        <f t="shared" si="136"/>
        <v>167984.66625000001</v>
      </c>
      <c r="N360" s="119">
        <f t="shared" si="136"/>
        <v>167984.66625000001</v>
      </c>
      <c r="O360" s="119">
        <f t="shared" si="136"/>
        <v>167984.66625000001</v>
      </c>
      <c r="P360" s="119">
        <f t="shared" si="136"/>
        <v>167984.66625000001</v>
      </c>
      <c r="Q360" s="119">
        <f t="shared" si="136"/>
        <v>167984.66625000001</v>
      </c>
      <c r="R360" s="119">
        <f t="shared" si="136"/>
        <v>167984.66625000001</v>
      </c>
      <c r="S360" s="119">
        <f t="shared" si="136"/>
        <v>167984.66625000001</v>
      </c>
      <c r="T360" s="119">
        <f t="shared" si="136"/>
        <v>167984.66625000001</v>
      </c>
      <c r="U360" s="119">
        <f t="shared" si="136"/>
        <v>167984.66625000001</v>
      </c>
      <c r="V360" s="119">
        <f t="shared" si="136"/>
        <v>167984.66625000001</v>
      </c>
      <c r="W360" s="119">
        <f t="shared" si="136"/>
        <v>83992.333125000005</v>
      </c>
      <c r="X360" s="119">
        <f t="shared" si="136"/>
        <v>0</v>
      </c>
      <c r="Y360" s="119">
        <f t="shared" si="136"/>
        <v>0</v>
      </c>
      <c r="Z360" s="119">
        <f t="shared" si="136"/>
        <v>0</v>
      </c>
      <c r="AA360" s="119">
        <f t="shared" si="136"/>
        <v>0</v>
      </c>
      <c r="AB360" s="119">
        <f t="shared" si="136"/>
        <v>0</v>
      </c>
      <c r="AC360" s="119">
        <f t="shared" si="136"/>
        <v>0</v>
      </c>
      <c r="AD360" s="119">
        <f t="shared" si="136"/>
        <v>0</v>
      </c>
      <c r="AE360" s="119">
        <f t="shared" si="136"/>
        <v>0</v>
      </c>
      <c r="AF360" s="119">
        <f t="shared" si="136"/>
        <v>0</v>
      </c>
      <c r="AG360" s="119">
        <f t="shared" si="136"/>
        <v>0</v>
      </c>
      <c r="AH360" s="119">
        <f t="shared" si="136"/>
        <v>0</v>
      </c>
      <c r="AI360" s="119">
        <f t="shared" si="136"/>
        <v>0</v>
      </c>
      <c r="AJ360" s="119">
        <f t="shared" si="136"/>
        <v>0</v>
      </c>
      <c r="AK360" s="119">
        <f t="shared" si="136"/>
        <v>0</v>
      </c>
      <c r="AL360" s="119">
        <f t="shared" si="136"/>
        <v>0</v>
      </c>
      <c r="AM360" s="119">
        <f t="shared" si="136"/>
        <v>0</v>
      </c>
      <c r="AN360" s="119">
        <f t="shared" si="136"/>
        <v>0</v>
      </c>
      <c r="AO360" s="119">
        <f t="shared" si="136"/>
        <v>0</v>
      </c>
      <c r="AP360" s="119">
        <f t="shared" si="136"/>
        <v>0</v>
      </c>
    </row>
    <row r="361" spans="1:42" x14ac:dyDescent="0.2">
      <c r="A361" s="23" t="str">
        <f t="shared" si="131"/>
        <v>39-yr SL</v>
      </c>
      <c r="B361" s="171">
        <f>SUM(IF(ISNUMBER(C361:AP361),C361:AP361))</f>
        <v>0</v>
      </c>
      <c r="C361" s="119">
        <f>C353/100*$Q$320</f>
        <v>0</v>
      </c>
      <c r="D361" s="119">
        <f t="shared" ref="D361:AP361" si="137">D353/100*$Q$320</f>
        <v>0</v>
      </c>
      <c r="E361" s="119">
        <f t="shared" si="137"/>
        <v>0</v>
      </c>
      <c r="F361" s="119">
        <f t="shared" si="137"/>
        <v>0</v>
      </c>
      <c r="G361" s="119">
        <f t="shared" si="137"/>
        <v>0</v>
      </c>
      <c r="H361" s="119">
        <f t="shared" si="137"/>
        <v>0</v>
      </c>
      <c r="I361" s="119">
        <f t="shared" si="137"/>
        <v>0</v>
      </c>
      <c r="J361" s="119">
        <f t="shared" si="137"/>
        <v>0</v>
      </c>
      <c r="K361" s="119">
        <f t="shared" si="137"/>
        <v>0</v>
      </c>
      <c r="L361" s="119">
        <f t="shared" si="137"/>
        <v>0</v>
      </c>
      <c r="M361" s="119">
        <f t="shared" si="137"/>
        <v>0</v>
      </c>
      <c r="N361" s="119">
        <f t="shared" si="137"/>
        <v>0</v>
      </c>
      <c r="O361" s="119">
        <f t="shared" si="137"/>
        <v>0</v>
      </c>
      <c r="P361" s="119">
        <f t="shared" si="137"/>
        <v>0</v>
      </c>
      <c r="Q361" s="119">
        <f t="shared" si="137"/>
        <v>0</v>
      </c>
      <c r="R361" s="119">
        <f t="shared" si="137"/>
        <v>0</v>
      </c>
      <c r="S361" s="119">
        <f t="shared" si="137"/>
        <v>0</v>
      </c>
      <c r="T361" s="119">
        <f t="shared" si="137"/>
        <v>0</v>
      </c>
      <c r="U361" s="119">
        <f t="shared" si="137"/>
        <v>0</v>
      </c>
      <c r="V361" s="119">
        <f t="shared" si="137"/>
        <v>0</v>
      </c>
      <c r="W361" s="119">
        <f t="shared" si="137"/>
        <v>0</v>
      </c>
      <c r="X361" s="119">
        <f t="shared" si="137"/>
        <v>0</v>
      </c>
      <c r="Y361" s="119">
        <f t="shared" si="137"/>
        <v>0</v>
      </c>
      <c r="Z361" s="119">
        <f t="shared" si="137"/>
        <v>0</v>
      </c>
      <c r="AA361" s="119">
        <f t="shared" si="137"/>
        <v>0</v>
      </c>
      <c r="AB361" s="119">
        <f t="shared" si="137"/>
        <v>0</v>
      </c>
      <c r="AC361" s="119">
        <f t="shared" si="137"/>
        <v>0</v>
      </c>
      <c r="AD361" s="119">
        <f t="shared" si="137"/>
        <v>0</v>
      </c>
      <c r="AE361" s="119">
        <f t="shared" si="137"/>
        <v>0</v>
      </c>
      <c r="AF361" s="119">
        <f t="shared" si="137"/>
        <v>0</v>
      </c>
      <c r="AG361" s="119">
        <f t="shared" si="137"/>
        <v>0</v>
      </c>
      <c r="AH361" s="119">
        <f t="shared" si="137"/>
        <v>0</v>
      </c>
      <c r="AI361" s="119">
        <f t="shared" si="137"/>
        <v>0</v>
      </c>
      <c r="AJ361" s="119">
        <f t="shared" si="137"/>
        <v>0</v>
      </c>
      <c r="AK361" s="119">
        <f t="shared" si="137"/>
        <v>0</v>
      </c>
      <c r="AL361" s="119">
        <f t="shared" si="137"/>
        <v>0</v>
      </c>
      <c r="AM361" s="119">
        <f t="shared" si="137"/>
        <v>0</v>
      </c>
      <c r="AN361" s="119">
        <f t="shared" si="137"/>
        <v>0</v>
      </c>
      <c r="AO361" s="119">
        <f t="shared" si="137"/>
        <v>0</v>
      </c>
      <c r="AP361" s="119">
        <f t="shared" si="137"/>
        <v>0</v>
      </c>
    </row>
    <row r="362" spans="1:42" x14ac:dyDescent="0.2">
      <c r="A362" s="23" t="s">
        <v>243</v>
      </c>
      <c r="B362" s="270">
        <f>SUM(IF(ISNUMBER(C362:AP362),C362:AP362))</f>
        <v>0</v>
      </c>
      <c r="C362" s="119">
        <f t="shared" ref="C362:AP362" si="138">IF(C2&lt;=analysis_period,C354/100*$Q$321,0)</f>
        <v>0</v>
      </c>
      <c r="D362" s="119">
        <f t="shared" si="138"/>
        <v>0</v>
      </c>
      <c r="E362" s="119">
        <f t="shared" si="138"/>
        <v>0</v>
      </c>
      <c r="F362" s="119">
        <f t="shared" si="138"/>
        <v>0</v>
      </c>
      <c r="G362" s="119">
        <f t="shared" si="138"/>
        <v>0</v>
      </c>
      <c r="H362" s="119">
        <f t="shared" si="138"/>
        <v>0</v>
      </c>
      <c r="I362" s="119">
        <f t="shared" si="138"/>
        <v>0</v>
      </c>
      <c r="J362" s="119">
        <f t="shared" si="138"/>
        <v>0</v>
      </c>
      <c r="K362" s="119">
        <f t="shared" si="138"/>
        <v>0</v>
      </c>
      <c r="L362" s="119">
        <f t="shared" si="138"/>
        <v>0</v>
      </c>
      <c r="M362" s="119">
        <f t="shared" si="138"/>
        <v>0</v>
      </c>
      <c r="N362" s="119">
        <f t="shared" si="138"/>
        <v>0</v>
      </c>
      <c r="O362" s="119">
        <f t="shared" si="138"/>
        <v>0</v>
      </c>
      <c r="P362" s="119">
        <f t="shared" si="138"/>
        <v>0</v>
      </c>
      <c r="Q362" s="119">
        <f t="shared" si="138"/>
        <v>0</v>
      </c>
      <c r="R362" s="119">
        <f t="shared" si="138"/>
        <v>0</v>
      </c>
      <c r="S362" s="119">
        <f t="shared" si="138"/>
        <v>0</v>
      </c>
      <c r="T362" s="119">
        <f t="shared" si="138"/>
        <v>0</v>
      </c>
      <c r="U362" s="119">
        <f t="shared" si="138"/>
        <v>0</v>
      </c>
      <c r="V362" s="119">
        <f t="shared" si="138"/>
        <v>0</v>
      </c>
      <c r="W362" s="119">
        <f t="shared" si="138"/>
        <v>0</v>
      </c>
      <c r="X362" s="119">
        <f t="shared" si="138"/>
        <v>0</v>
      </c>
      <c r="Y362" s="119">
        <f t="shared" si="138"/>
        <v>0</v>
      </c>
      <c r="Z362" s="119">
        <f t="shared" si="138"/>
        <v>0</v>
      </c>
      <c r="AA362" s="119">
        <f t="shared" si="138"/>
        <v>0</v>
      </c>
      <c r="AB362" s="119">
        <f t="shared" si="138"/>
        <v>0</v>
      </c>
      <c r="AC362" s="119">
        <f t="shared" si="138"/>
        <v>0</v>
      </c>
      <c r="AD362" s="119">
        <f t="shared" si="138"/>
        <v>0</v>
      </c>
      <c r="AE362" s="119">
        <f t="shared" si="138"/>
        <v>0</v>
      </c>
      <c r="AF362" s="119">
        <f t="shared" si="138"/>
        <v>0</v>
      </c>
      <c r="AG362" s="119">
        <f t="shared" si="138"/>
        <v>0</v>
      </c>
      <c r="AH362" s="119">
        <f t="shared" si="138"/>
        <v>0</v>
      </c>
      <c r="AI362" s="119">
        <f t="shared" si="138"/>
        <v>0</v>
      </c>
      <c r="AJ362" s="119">
        <f t="shared" si="138"/>
        <v>0</v>
      </c>
      <c r="AK362" s="119">
        <f t="shared" si="138"/>
        <v>0</v>
      </c>
      <c r="AL362" s="119">
        <f t="shared" si="138"/>
        <v>0</v>
      </c>
      <c r="AM362" s="119">
        <f t="shared" si="138"/>
        <v>0</v>
      </c>
      <c r="AN362" s="119">
        <f t="shared" si="138"/>
        <v>0</v>
      </c>
      <c r="AO362" s="119">
        <f t="shared" si="138"/>
        <v>0</v>
      </c>
      <c r="AP362" s="119">
        <f t="shared" si="138"/>
        <v>0</v>
      </c>
    </row>
    <row r="363" spans="1:42" x14ac:dyDescent="0.2">
      <c r="A363" s="23" t="s">
        <v>73</v>
      </c>
      <c r="B363" s="172">
        <f t="shared" ref="B363" si="139">SUM(C363:AP363)</f>
        <v>0</v>
      </c>
      <c r="C363" s="120">
        <f>P322</f>
        <v>0</v>
      </c>
      <c r="D363" s="120">
        <v>0</v>
      </c>
      <c r="E363" s="120">
        <v>0</v>
      </c>
      <c r="F363" s="120">
        <v>0</v>
      </c>
      <c r="G363" s="120">
        <v>0</v>
      </c>
      <c r="H363" s="120">
        <v>0</v>
      </c>
      <c r="I363" s="120">
        <v>0</v>
      </c>
      <c r="J363" s="120">
        <v>0</v>
      </c>
      <c r="K363" s="120">
        <v>0</v>
      </c>
      <c r="L363" s="120">
        <v>0</v>
      </c>
      <c r="M363" s="120">
        <v>0</v>
      </c>
      <c r="N363" s="120">
        <v>0</v>
      </c>
      <c r="O363" s="120">
        <v>0</v>
      </c>
      <c r="P363" s="120">
        <v>0</v>
      </c>
      <c r="Q363" s="120">
        <v>0</v>
      </c>
      <c r="R363" s="120">
        <v>0</v>
      </c>
      <c r="S363" s="120">
        <v>0</v>
      </c>
      <c r="T363" s="120">
        <v>0</v>
      </c>
      <c r="U363" s="120">
        <v>0</v>
      </c>
      <c r="V363" s="120">
        <v>0</v>
      </c>
      <c r="W363" s="120">
        <v>0</v>
      </c>
      <c r="X363" s="120">
        <v>0</v>
      </c>
      <c r="Y363" s="120">
        <v>0</v>
      </c>
      <c r="Z363" s="120">
        <v>0</v>
      </c>
      <c r="AA363" s="120">
        <v>0</v>
      </c>
      <c r="AB363" s="120">
        <v>0</v>
      </c>
      <c r="AC363" s="120">
        <v>0</v>
      </c>
      <c r="AD363" s="120">
        <v>0</v>
      </c>
      <c r="AE363" s="120">
        <v>0</v>
      </c>
      <c r="AF363" s="120">
        <v>0</v>
      </c>
      <c r="AG363" s="120">
        <v>0</v>
      </c>
      <c r="AH363" s="120">
        <v>0</v>
      </c>
      <c r="AI363" s="120">
        <v>0</v>
      </c>
      <c r="AJ363" s="120">
        <v>0</v>
      </c>
      <c r="AK363" s="120">
        <v>0</v>
      </c>
      <c r="AL363" s="120">
        <v>0</v>
      </c>
      <c r="AM363" s="120">
        <v>0</v>
      </c>
      <c r="AN363" s="120">
        <v>0</v>
      </c>
      <c r="AO363" s="120">
        <v>0</v>
      </c>
      <c r="AP363" s="120">
        <v>0</v>
      </c>
    </row>
    <row r="364" spans="1:42" x14ac:dyDescent="0.2">
      <c r="A364" s="22"/>
      <c r="B364" s="173">
        <f>SUM(IF(ISNUMBER(C364:AP364),C364:AP364))</f>
        <v>0</v>
      </c>
      <c r="C364" s="119">
        <f>SUM(C356:C363)</f>
        <v>17395652.113518748</v>
      </c>
      <c r="D364" s="119">
        <f>SUM(D356:D363)</f>
        <v>27929410.585168749</v>
      </c>
      <c r="E364" s="119">
        <f t="shared" ref="E364:AP364" si="140">SUM(E356:E363)</f>
        <v>16947413.029075</v>
      </c>
      <c r="F364" s="119">
        <f t="shared" si="140"/>
        <v>10353510.92476375</v>
      </c>
      <c r="G364" s="119">
        <f t="shared" si="140"/>
        <v>10340576.105462501</v>
      </c>
      <c r="H364" s="119">
        <f t="shared" si="140"/>
        <v>5394099.6230649995</v>
      </c>
      <c r="I364" s="119">
        <f t="shared" si="140"/>
        <v>453838.57331875002</v>
      </c>
      <c r="J364" s="119">
        <f t="shared" si="140"/>
        <v>453838.57331875002</v>
      </c>
      <c r="K364" s="119">
        <f t="shared" si="140"/>
        <v>454006.55798500002</v>
      </c>
      <c r="L364" s="119">
        <f t="shared" si="140"/>
        <v>453838.57331875002</v>
      </c>
      <c r="M364" s="119">
        <f t="shared" si="140"/>
        <v>454006.55798500002</v>
      </c>
      <c r="N364" s="119">
        <f t="shared" si="140"/>
        <v>453558.59887500003</v>
      </c>
      <c r="O364" s="119">
        <f t="shared" si="140"/>
        <v>454006.55798500002</v>
      </c>
      <c r="P364" s="119">
        <f t="shared" si="140"/>
        <v>453558.59887500003</v>
      </c>
      <c r="Q364" s="119">
        <f t="shared" si="140"/>
        <v>453838.57331875002</v>
      </c>
      <c r="R364" s="119">
        <f t="shared" si="140"/>
        <v>310771.63256250002</v>
      </c>
      <c r="S364" s="119">
        <f t="shared" si="140"/>
        <v>167984.66625000001</v>
      </c>
      <c r="T364" s="119">
        <f t="shared" si="140"/>
        <v>167984.66625000001</v>
      </c>
      <c r="U364" s="119">
        <f t="shared" si="140"/>
        <v>167984.66625000001</v>
      </c>
      <c r="V364" s="119">
        <f t="shared" si="140"/>
        <v>167984.66625000001</v>
      </c>
      <c r="W364" s="119">
        <f t="shared" si="140"/>
        <v>83992.333125000005</v>
      </c>
      <c r="X364" s="119">
        <f t="shared" si="140"/>
        <v>0</v>
      </c>
      <c r="Y364" s="119">
        <f t="shared" si="140"/>
        <v>0</v>
      </c>
      <c r="Z364" s="119">
        <f t="shared" si="140"/>
        <v>0</v>
      </c>
      <c r="AA364" s="119">
        <f t="shared" si="140"/>
        <v>0</v>
      </c>
      <c r="AB364" s="119">
        <f t="shared" si="140"/>
        <v>0</v>
      </c>
      <c r="AC364" s="119">
        <f t="shared" si="140"/>
        <v>0</v>
      </c>
      <c r="AD364" s="119">
        <f t="shared" si="140"/>
        <v>0</v>
      </c>
      <c r="AE364" s="119">
        <f t="shared" si="140"/>
        <v>0</v>
      </c>
      <c r="AF364" s="119">
        <f t="shared" si="140"/>
        <v>0</v>
      </c>
      <c r="AG364" s="119">
        <f t="shared" si="140"/>
        <v>0</v>
      </c>
      <c r="AH364" s="119">
        <f t="shared" si="140"/>
        <v>0</v>
      </c>
      <c r="AI364" s="119">
        <f t="shared" si="140"/>
        <v>0</v>
      </c>
      <c r="AJ364" s="119">
        <f t="shared" si="140"/>
        <v>0</v>
      </c>
      <c r="AK364" s="119">
        <f t="shared" si="140"/>
        <v>0</v>
      </c>
      <c r="AL364" s="119">
        <f t="shared" si="140"/>
        <v>0</v>
      </c>
      <c r="AM364" s="119">
        <f t="shared" si="140"/>
        <v>0</v>
      </c>
      <c r="AN364" s="119">
        <f t="shared" si="140"/>
        <v>0</v>
      </c>
      <c r="AO364" s="119">
        <f t="shared" si="140"/>
        <v>0</v>
      </c>
      <c r="AP364" s="119">
        <f t="shared" si="140"/>
        <v>0</v>
      </c>
    </row>
    <row r="365" spans="1:42" x14ac:dyDescent="0.2">
      <c r="A365" s="22"/>
    </row>
    <row r="366" spans="1:42" x14ac:dyDescent="0.2">
      <c r="A366" s="18" t="s">
        <v>61</v>
      </c>
    </row>
    <row r="367" spans="1:42" x14ac:dyDescent="0.2">
      <c r="A367" s="22" t="s">
        <v>63</v>
      </c>
      <c r="B367" s="27" t="str">
        <f>equip_reserve_depr_sta</f>
        <v>5-yr MACRS</v>
      </c>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row>
    <row r="368" spans="1:42" x14ac:dyDescent="0.2">
      <c r="A368" s="22" t="s">
        <v>64</v>
      </c>
      <c r="B368" s="175">
        <f t="shared" ref="B368:AP368" si="141">B2</f>
        <v>0</v>
      </c>
      <c r="C368" s="175">
        <f t="shared" si="141"/>
        <v>1</v>
      </c>
      <c r="D368" s="175">
        <f t="shared" si="141"/>
        <v>2</v>
      </c>
      <c r="E368" s="175">
        <f t="shared" si="141"/>
        <v>3</v>
      </c>
      <c r="F368" s="175">
        <f t="shared" si="141"/>
        <v>4</v>
      </c>
      <c r="G368" s="175">
        <f t="shared" si="141"/>
        <v>5</v>
      </c>
      <c r="H368" s="175">
        <f t="shared" si="141"/>
        <v>6</v>
      </c>
      <c r="I368" s="175">
        <f t="shared" si="141"/>
        <v>7</v>
      </c>
      <c r="J368" s="175">
        <f t="shared" si="141"/>
        <v>8</v>
      </c>
      <c r="K368" s="175">
        <f t="shared" si="141"/>
        <v>9</v>
      </c>
      <c r="L368" s="175">
        <f t="shared" si="141"/>
        <v>10</v>
      </c>
      <c r="M368" s="175">
        <f t="shared" si="141"/>
        <v>11</v>
      </c>
      <c r="N368" s="175">
        <f t="shared" si="141"/>
        <v>12</v>
      </c>
      <c r="O368" s="175">
        <f t="shared" si="141"/>
        <v>13</v>
      </c>
      <c r="P368" s="175">
        <f t="shared" si="141"/>
        <v>14</v>
      </c>
      <c r="Q368" s="175">
        <f t="shared" si="141"/>
        <v>15</v>
      </c>
      <c r="R368" s="175">
        <f t="shared" si="141"/>
        <v>16</v>
      </c>
      <c r="S368" s="175">
        <f t="shared" si="141"/>
        <v>17</v>
      </c>
      <c r="T368" s="175">
        <f t="shared" si="141"/>
        <v>18</v>
      </c>
      <c r="U368" s="175">
        <f t="shared" si="141"/>
        <v>19</v>
      </c>
      <c r="V368" s="175">
        <f t="shared" si="141"/>
        <v>20</v>
      </c>
      <c r="W368" s="175">
        <f t="shared" si="141"/>
        <v>21</v>
      </c>
      <c r="X368" s="175">
        <f t="shared" si="141"/>
        <v>22</v>
      </c>
      <c r="Y368" s="175">
        <f t="shared" si="141"/>
        <v>23</v>
      </c>
      <c r="Z368" s="175">
        <f t="shared" si="141"/>
        <v>24</v>
      </c>
      <c r="AA368" s="175">
        <f t="shared" si="141"/>
        <v>25</v>
      </c>
      <c r="AB368" s="175">
        <f t="shared" si="141"/>
        <v>26</v>
      </c>
      <c r="AC368" s="175">
        <f t="shared" si="141"/>
        <v>27</v>
      </c>
      <c r="AD368" s="175">
        <f t="shared" si="141"/>
        <v>28</v>
      </c>
      <c r="AE368" s="175">
        <f t="shared" si="141"/>
        <v>29</v>
      </c>
      <c r="AF368" s="175">
        <f t="shared" si="141"/>
        <v>30</v>
      </c>
      <c r="AG368" s="175">
        <f t="shared" si="141"/>
        <v>31</v>
      </c>
      <c r="AH368" s="175">
        <f t="shared" si="141"/>
        <v>32</v>
      </c>
      <c r="AI368" s="175">
        <f t="shared" si="141"/>
        <v>33</v>
      </c>
      <c r="AJ368" s="175">
        <f t="shared" si="141"/>
        <v>34</v>
      </c>
      <c r="AK368" s="175">
        <f t="shared" si="141"/>
        <v>35</v>
      </c>
      <c r="AL368" s="175">
        <f t="shared" si="141"/>
        <v>36</v>
      </c>
      <c r="AM368" s="175">
        <f t="shared" si="141"/>
        <v>37</v>
      </c>
      <c r="AN368" s="175">
        <f t="shared" si="141"/>
        <v>38</v>
      </c>
      <c r="AO368" s="175">
        <f t="shared" si="141"/>
        <v>39</v>
      </c>
      <c r="AP368" s="175">
        <f t="shared" si="141"/>
        <v>40</v>
      </c>
    </row>
    <row r="369" spans="1:42" x14ac:dyDescent="0.2">
      <c r="A369" s="22" t="s">
        <v>165</v>
      </c>
      <c r="B369" s="174">
        <v>0</v>
      </c>
      <c r="C369" s="167">
        <f t="shared" ref="C369:AP369" si="142">IF($B$367=$A348,C348,0)+IF($B$367=$A349,C349,0)+IF($B$367=$A350,C350,0)+IF($B$367=$A351,C351,0)+IF($B$367=$A352,C352,0)+IF($B$367=$A353,C353,0)</f>
        <v>20</v>
      </c>
      <c r="D369" s="167">
        <f t="shared" si="142"/>
        <v>32</v>
      </c>
      <c r="E369" s="167">
        <f t="shared" si="142"/>
        <v>19.2</v>
      </c>
      <c r="F369" s="167">
        <f t="shared" si="142"/>
        <v>11.52</v>
      </c>
      <c r="G369" s="167">
        <f t="shared" si="142"/>
        <v>11.52</v>
      </c>
      <c r="H369" s="167">
        <f t="shared" si="142"/>
        <v>5.76</v>
      </c>
      <c r="I369" s="167">
        <f t="shared" si="142"/>
        <v>0</v>
      </c>
      <c r="J369" s="167">
        <f t="shared" si="142"/>
        <v>0</v>
      </c>
      <c r="K369" s="167">
        <f t="shared" si="142"/>
        <v>0</v>
      </c>
      <c r="L369" s="167">
        <f t="shared" si="142"/>
        <v>0</v>
      </c>
      <c r="M369" s="167">
        <f t="shared" si="142"/>
        <v>0</v>
      </c>
      <c r="N369" s="167">
        <f t="shared" si="142"/>
        <v>0</v>
      </c>
      <c r="O369" s="167">
        <f t="shared" si="142"/>
        <v>0</v>
      </c>
      <c r="P369" s="167">
        <f t="shared" si="142"/>
        <v>0</v>
      </c>
      <c r="Q369" s="167">
        <f t="shared" si="142"/>
        <v>0</v>
      </c>
      <c r="R369" s="167">
        <f t="shared" si="142"/>
        <v>0</v>
      </c>
      <c r="S369" s="167">
        <f t="shared" si="142"/>
        <v>0</v>
      </c>
      <c r="T369" s="167">
        <f t="shared" si="142"/>
        <v>0</v>
      </c>
      <c r="U369" s="167">
        <f t="shared" si="142"/>
        <v>0</v>
      </c>
      <c r="V369" s="167">
        <f t="shared" si="142"/>
        <v>0</v>
      </c>
      <c r="W369" s="167">
        <f t="shared" si="142"/>
        <v>0</v>
      </c>
      <c r="X369" s="167">
        <f t="shared" si="142"/>
        <v>0</v>
      </c>
      <c r="Y369" s="167">
        <f t="shared" si="142"/>
        <v>0</v>
      </c>
      <c r="Z369" s="167">
        <f t="shared" si="142"/>
        <v>0</v>
      </c>
      <c r="AA369" s="167">
        <f t="shared" si="142"/>
        <v>0</v>
      </c>
      <c r="AB369" s="167">
        <f t="shared" si="142"/>
        <v>0</v>
      </c>
      <c r="AC369" s="167">
        <f t="shared" si="142"/>
        <v>0</v>
      </c>
      <c r="AD369" s="167">
        <f t="shared" si="142"/>
        <v>0</v>
      </c>
      <c r="AE369" s="167">
        <f t="shared" si="142"/>
        <v>0</v>
      </c>
      <c r="AF369" s="167">
        <f t="shared" si="142"/>
        <v>0</v>
      </c>
      <c r="AG369" s="167">
        <f t="shared" si="142"/>
        <v>0</v>
      </c>
      <c r="AH369" s="167">
        <f t="shared" si="142"/>
        <v>0</v>
      </c>
      <c r="AI369" s="167">
        <f t="shared" si="142"/>
        <v>0</v>
      </c>
      <c r="AJ369" s="167">
        <f t="shared" si="142"/>
        <v>0</v>
      </c>
      <c r="AK369" s="167">
        <f t="shared" si="142"/>
        <v>0</v>
      </c>
      <c r="AL369" s="167">
        <f t="shared" si="142"/>
        <v>0</v>
      </c>
      <c r="AM369" s="167">
        <f t="shared" si="142"/>
        <v>0</v>
      </c>
      <c r="AN369" s="167">
        <f t="shared" si="142"/>
        <v>0</v>
      </c>
      <c r="AO369" s="167">
        <f t="shared" si="142"/>
        <v>0</v>
      </c>
      <c r="AP369" s="167">
        <f t="shared" si="142"/>
        <v>0</v>
      </c>
    </row>
    <row r="370" spans="1:42" x14ac:dyDescent="0.2">
      <c r="A370" s="22"/>
      <c r="B370" s="28"/>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row>
    <row r="371" spans="1:42" x14ac:dyDescent="0.2">
      <c r="A371" s="18" t="s">
        <v>75</v>
      </c>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row>
    <row r="372" spans="1:42" x14ac:dyDescent="0.2">
      <c r="A372" s="22" t="s">
        <v>62</v>
      </c>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row>
    <row r="373" spans="1:42" x14ac:dyDescent="0.2">
      <c r="A373" s="4">
        <v>1</v>
      </c>
      <c r="B373" s="4">
        <v>0</v>
      </c>
      <c r="C373" s="159">
        <f>IF(C$2&lt;=analysis_period,IF(SUM($C680:C680)&gt;0,B373+1,0),0)</f>
        <v>0</v>
      </c>
      <c r="D373" s="159">
        <f>IF(D$2&lt;=analysis_period,IF(SUM($C680:D680)&gt;0,C373+1,0),0)</f>
        <v>0</v>
      </c>
      <c r="E373" s="159">
        <f>IF(E$2&lt;=analysis_period,IF(SUM($C680:E680)&gt;0,D373+1,0),0)</f>
        <v>0</v>
      </c>
      <c r="F373" s="159">
        <f>IF(F$2&lt;=analysis_period,IF(SUM($C680:F680)&gt;0,E373+1,0),0)</f>
        <v>0</v>
      </c>
      <c r="G373" s="159">
        <f>IF(G$2&lt;=analysis_period,IF(SUM($C680:G680)&gt;0,F373+1,0),0)</f>
        <v>0</v>
      </c>
      <c r="H373" s="159">
        <f>IF(H$2&lt;=analysis_period,IF(SUM($C680:H680)&gt;0,G373+1,0),0)</f>
        <v>0</v>
      </c>
      <c r="I373" s="159">
        <f>IF(I$2&lt;=analysis_period,IF(SUM($C680:I680)&gt;0,H373+1,0),0)</f>
        <v>0</v>
      </c>
      <c r="J373" s="159">
        <f>IF(J$2&lt;=analysis_period,IF(SUM($C680:J680)&gt;0,I373+1,0),0)</f>
        <v>0</v>
      </c>
      <c r="K373" s="159">
        <f>IF(K$2&lt;=analysis_period,IF(SUM($C680:K680)&gt;0,J373+1,0),0)</f>
        <v>0</v>
      </c>
      <c r="L373" s="159">
        <f>IF(L$2&lt;=analysis_period,IF(SUM($C680:L680)&gt;0,K373+1,0),0)</f>
        <v>0</v>
      </c>
      <c r="M373" s="159">
        <f>IF(M$2&lt;=analysis_period,IF(SUM($C680:M680)&gt;0,L373+1,0),0)</f>
        <v>0</v>
      </c>
      <c r="N373" s="159">
        <f>IF(N$2&lt;=analysis_period,IF(SUM($C680:N680)&gt;0,M373+1,0),0)</f>
        <v>0</v>
      </c>
      <c r="O373" s="159">
        <f>IF(O$2&lt;=analysis_period,IF(SUM($C680:O680)&gt;0,N373+1,0),0)</f>
        <v>0</v>
      </c>
      <c r="P373" s="159">
        <f>IF(P$2&lt;=analysis_period,IF(SUM($C680:P680)&gt;0,O373+1,0),0)</f>
        <v>0</v>
      </c>
      <c r="Q373" s="159">
        <f>IF(Q$2&lt;=analysis_period,IF(SUM($C680:Q680)&gt;0,P373+1,0),0)</f>
        <v>1</v>
      </c>
      <c r="R373" s="159">
        <f>IF(R$2&lt;=analysis_period,IF(SUM($C680:R680)&gt;0,Q373+1,0),0)</f>
        <v>2</v>
      </c>
      <c r="S373" s="159">
        <f>IF(S$2&lt;=analysis_period,IF(SUM($C680:S680)&gt;0,R373+1,0),0)</f>
        <v>3</v>
      </c>
      <c r="T373" s="159">
        <f>IF(T$2&lt;=analysis_period,IF(SUM($C680:T680)&gt;0,S373+1,0),0)</f>
        <v>4</v>
      </c>
      <c r="U373" s="159">
        <f>IF(U$2&lt;=analysis_period,IF(SUM($C680:U680)&gt;0,T373+1,0),0)</f>
        <v>5</v>
      </c>
      <c r="V373" s="159">
        <f>IF(V$2&lt;=analysis_period,IF(SUM($C680:V680)&gt;0,U373+1,0),0)</f>
        <v>6</v>
      </c>
      <c r="W373" s="159">
        <f>IF(W$2&lt;=analysis_period,IF(SUM($C680:W680)&gt;0,V373+1,0),0)</f>
        <v>7</v>
      </c>
      <c r="X373" s="159">
        <f>IF(X$2&lt;=analysis_period,IF(SUM($C680:X680)&gt;0,W373+1,0),0)</f>
        <v>8</v>
      </c>
      <c r="Y373" s="159">
        <f>IF(Y$2&lt;=analysis_period,IF(SUM($C680:Y680)&gt;0,X373+1,0),0)</f>
        <v>9</v>
      </c>
      <c r="Z373" s="159">
        <f>IF(Z$2&lt;=analysis_period,IF(SUM($C680:Z680)&gt;0,Y373+1,0),0)</f>
        <v>10</v>
      </c>
      <c r="AA373" s="159">
        <f>IF(AA$2&lt;=analysis_period,IF(SUM($C680:AA680)&gt;0,Z373+1,0),0)</f>
        <v>11</v>
      </c>
      <c r="AB373" s="159">
        <f>IF(AB$2&lt;=analysis_period,IF(SUM($C680:AB680)&gt;0,AA373+1,0),0)</f>
        <v>0</v>
      </c>
      <c r="AC373" s="159">
        <f>IF(AC$2&lt;=analysis_period,IF(SUM($C680:AC680)&gt;0,AB373+1,0),0)</f>
        <v>0</v>
      </c>
      <c r="AD373" s="159">
        <f>IF(AD$2&lt;=analysis_period,IF(SUM($C680:AD680)&gt;0,AC373+1,0),0)</f>
        <v>0</v>
      </c>
      <c r="AE373" s="159">
        <f>IF(AE$2&lt;=analysis_period,IF(SUM($C680:AE680)&gt;0,AD373+1,0),0)</f>
        <v>0</v>
      </c>
      <c r="AF373" s="159">
        <f>IF(AF$2&lt;=analysis_period,IF(SUM($C680:AF680)&gt;0,AE373+1,0),0)</f>
        <v>0</v>
      </c>
      <c r="AG373" s="159">
        <f>IF(AG$2&lt;=analysis_period,IF(SUM($C680:AG680)&gt;0,AF373+1,0),0)</f>
        <v>0</v>
      </c>
      <c r="AH373" s="159">
        <f>IF(AH$2&lt;=analysis_period,IF(SUM($C680:AH680)&gt;0,AG373+1,0),0)</f>
        <v>0</v>
      </c>
      <c r="AI373" s="159">
        <f>IF(AI$2&lt;=analysis_period,IF(SUM($C680:AI680)&gt;0,AH373+1,0),0)</f>
        <v>0</v>
      </c>
      <c r="AJ373" s="159">
        <f>IF(AJ$2&lt;=analysis_period,IF(SUM($C680:AJ680)&gt;0,AI373+1,0),0)</f>
        <v>0</v>
      </c>
      <c r="AK373" s="159">
        <f>IF(AK$2&lt;=analysis_period,IF(SUM($C680:AK680)&gt;0,AJ373+1,0),0)</f>
        <v>0</v>
      </c>
      <c r="AL373" s="159">
        <f>IF(AL$2&lt;=analysis_period,IF(SUM($C680:AL680)&gt;0,AK373+1,0),0)</f>
        <v>0</v>
      </c>
      <c r="AM373" s="159">
        <f>IF(AM$2&lt;=analysis_period,IF(SUM($C680:AM680)&gt;0,AL373+1,0),0)</f>
        <v>0</v>
      </c>
      <c r="AN373" s="159">
        <f>IF(AN$2&lt;=analysis_period,IF(SUM($C680:AN680)&gt;0,AM373+1,0),0)</f>
        <v>0</v>
      </c>
      <c r="AO373" s="159">
        <f>IF(AO$2&lt;=analysis_period,IF(SUM($C680:AO680)&gt;0,AN373+1,0),0)</f>
        <v>0</v>
      </c>
      <c r="AP373" s="159">
        <f>IF(AP$2&lt;=analysis_period,IF(SUM($C680:AP680)&gt;0,AO373+1,0),0)</f>
        <v>0</v>
      </c>
    </row>
    <row r="374" spans="1:42" x14ac:dyDescent="0.2">
      <c r="A374" s="4">
        <f>A373+1</f>
        <v>2</v>
      </c>
      <c r="B374" s="4">
        <v>0</v>
      </c>
      <c r="C374" s="159">
        <f>IF(C$2&lt;=analysis_period,IF(SUM($C681:C681)&gt;0,B374+1,0),0)</f>
        <v>0</v>
      </c>
      <c r="D374" s="159">
        <f>IF(D$2&lt;=analysis_period,IF(SUM($C681:D681)&gt;0,C374+1,0),0)</f>
        <v>0</v>
      </c>
      <c r="E374" s="159">
        <f>IF(E$2&lt;=analysis_period,IF(SUM($C681:E681)&gt;0,D374+1,0),0)</f>
        <v>0</v>
      </c>
      <c r="F374" s="159">
        <f>IF(F$2&lt;=analysis_period,IF(SUM($C681:F681)&gt;0,E374+1,0),0)</f>
        <v>0</v>
      </c>
      <c r="G374" s="159">
        <f>IF(G$2&lt;=analysis_period,IF(SUM($C681:G681)&gt;0,F374+1,0),0)</f>
        <v>0</v>
      </c>
      <c r="H374" s="159">
        <f>IF(H$2&lt;=analysis_period,IF(SUM($C681:H681)&gt;0,G374+1,0),0)</f>
        <v>0</v>
      </c>
      <c r="I374" s="159">
        <f>IF(I$2&lt;=analysis_period,IF(SUM($C681:I681)&gt;0,H374+1,0),0)</f>
        <v>0</v>
      </c>
      <c r="J374" s="159">
        <f>IF(J$2&lt;=analysis_period,IF(SUM($C681:J681)&gt;0,I374+1,0),0)</f>
        <v>0</v>
      </c>
      <c r="K374" s="159">
        <f>IF(K$2&lt;=analysis_period,IF(SUM($C681:K681)&gt;0,J374+1,0),0)</f>
        <v>0</v>
      </c>
      <c r="L374" s="159">
        <f>IF(L$2&lt;=analysis_period,IF(SUM($C681:L681)&gt;0,K374+1,0),0)</f>
        <v>0</v>
      </c>
      <c r="M374" s="159">
        <f>IF(M$2&lt;=analysis_period,IF(SUM($C681:M681)&gt;0,L374+1,0),0)</f>
        <v>0</v>
      </c>
      <c r="N374" s="159">
        <f>IF(N$2&lt;=analysis_period,IF(SUM($C681:N681)&gt;0,M374+1,0),0)</f>
        <v>0</v>
      </c>
      <c r="O374" s="159">
        <f>IF(O$2&lt;=analysis_period,IF(SUM($C681:O681)&gt;0,N374+1,0),0)</f>
        <v>0</v>
      </c>
      <c r="P374" s="159">
        <f>IF(P$2&lt;=analysis_period,IF(SUM($C681:P681)&gt;0,O374+1,0),0)</f>
        <v>0</v>
      </c>
      <c r="Q374" s="159">
        <f>IF(Q$2&lt;=analysis_period,IF(SUM($C681:Q681)&gt;0,P374+1,0),0)</f>
        <v>0</v>
      </c>
      <c r="R374" s="159">
        <f>IF(R$2&lt;=analysis_period,IF(SUM($C681:R681)&gt;0,Q374+1,0),0)</f>
        <v>0</v>
      </c>
      <c r="S374" s="159">
        <f>IF(S$2&lt;=analysis_period,IF(SUM($C681:S681)&gt;0,R374+1,0),0)</f>
        <v>0</v>
      </c>
      <c r="T374" s="159">
        <f>IF(T$2&lt;=analysis_period,IF(SUM($C681:T681)&gt;0,S374+1,0),0)</f>
        <v>0</v>
      </c>
      <c r="U374" s="159">
        <f>IF(U$2&lt;=analysis_period,IF(SUM($C681:U681)&gt;0,T374+1,0),0)</f>
        <v>0</v>
      </c>
      <c r="V374" s="159">
        <f>IF(V$2&lt;=analysis_period,IF(SUM($C681:V681)&gt;0,U374+1,0),0)</f>
        <v>0</v>
      </c>
      <c r="W374" s="159">
        <f>IF(W$2&lt;=analysis_period,IF(SUM($C681:W681)&gt;0,V374+1,0),0)</f>
        <v>0</v>
      </c>
      <c r="X374" s="159">
        <f>IF(X$2&lt;=analysis_period,IF(SUM($C681:X681)&gt;0,W374+1,0),0)</f>
        <v>0</v>
      </c>
      <c r="Y374" s="159">
        <f>IF(Y$2&lt;=analysis_period,IF(SUM($C681:Y681)&gt;0,X374+1,0),0)</f>
        <v>0</v>
      </c>
      <c r="Z374" s="159">
        <f>IF(Z$2&lt;=analysis_period,IF(SUM($C681:Z681)&gt;0,Y374+1,0),0)</f>
        <v>0</v>
      </c>
      <c r="AA374" s="159">
        <f>IF(AA$2&lt;=analysis_period,IF(SUM($C681:AA681)&gt;0,Z374+1,0),0)</f>
        <v>0</v>
      </c>
      <c r="AB374" s="159">
        <f>IF(AB$2&lt;=analysis_period,IF(SUM($C681:AB681)&gt;0,AA374+1,0),0)</f>
        <v>0</v>
      </c>
      <c r="AC374" s="159">
        <f>IF(AC$2&lt;=analysis_period,IF(SUM($C681:AC681)&gt;0,AB374+1,0),0)</f>
        <v>0</v>
      </c>
      <c r="AD374" s="159">
        <f>IF(AD$2&lt;=analysis_period,IF(SUM($C681:AD681)&gt;0,AC374+1,0),0)</f>
        <v>0</v>
      </c>
      <c r="AE374" s="159">
        <f>IF(AE$2&lt;=analysis_period,IF(SUM($C681:AE681)&gt;0,AD374+1,0),0)</f>
        <v>0</v>
      </c>
      <c r="AF374" s="159">
        <f>IF(AF$2&lt;=analysis_period,IF(SUM($C681:AF681)&gt;0,AE374+1,0),0)</f>
        <v>0</v>
      </c>
      <c r="AG374" s="159">
        <f>IF(AG$2&lt;=analysis_period,IF(SUM($C681:AG681)&gt;0,AF374+1,0),0)</f>
        <v>0</v>
      </c>
      <c r="AH374" s="159">
        <f>IF(AH$2&lt;=analysis_period,IF(SUM($C681:AH681)&gt;0,AG374+1,0),0)</f>
        <v>0</v>
      </c>
      <c r="AI374" s="159">
        <f>IF(AI$2&lt;=analysis_period,IF(SUM($C681:AI681)&gt;0,AH374+1,0),0)</f>
        <v>0</v>
      </c>
      <c r="AJ374" s="159">
        <f>IF(AJ$2&lt;=analysis_period,IF(SUM($C681:AJ681)&gt;0,AI374+1,0),0)</f>
        <v>0</v>
      </c>
      <c r="AK374" s="159">
        <f>IF(AK$2&lt;=analysis_period,IF(SUM($C681:AK681)&gt;0,AJ374+1,0),0)</f>
        <v>0</v>
      </c>
      <c r="AL374" s="159">
        <f>IF(AL$2&lt;=analysis_period,IF(SUM($C681:AL681)&gt;0,AK374+1,0),0)</f>
        <v>0</v>
      </c>
      <c r="AM374" s="159">
        <f>IF(AM$2&lt;=analysis_period,IF(SUM($C681:AM681)&gt;0,AL374+1,0),0)</f>
        <v>0</v>
      </c>
      <c r="AN374" s="159">
        <f>IF(AN$2&lt;=analysis_period,IF(SUM($C681:AN681)&gt;0,AM374+1,0),0)</f>
        <v>0</v>
      </c>
      <c r="AO374" s="159">
        <f>IF(AO$2&lt;=analysis_period,IF(SUM($C681:AO681)&gt;0,AN374+1,0),0)</f>
        <v>0</v>
      </c>
      <c r="AP374" s="159">
        <f>IF(AP$2&lt;=analysis_period,IF(SUM($C681:AP681)&gt;0,AO374+1,0),0)</f>
        <v>0</v>
      </c>
    </row>
    <row r="375" spans="1:42" x14ac:dyDescent="0.2">
      <c r="A375" s="4">
        <f t="shared" ref="A375:A382" si="143">A374+1</f>
        <v>3</v>
      </c>
      <c r="B375" s="4">
        <v>0</v>
      </c>
      <c r="C375" s="159">
        <f>IF(C$2&lt;=analysis_period,IF(SUM($C682:C682)&gt;0,B375+1,0),0)</f>
        <v>0</v>
      </c>
      <c r="D375" s="159">
        <f>IF(D$2&lt;=analysis_period,IF(SUM($C682:D682)&gt;0,C375+1,0),0)</f>
        <v>0</v>
      </c>
      <c r="E375" s="159">
        <f>IF(E$2&lt;=analysis_period,IF(SUM($C682:E682)&gt;0,D375+1,0),0)</f>
        <v>0</v>
      </c>
      <c r="F375" s="159">
        <f>IF(F$2&lt;=analysis_period,IF(SUM($C682:F682)&gt;0,E375+1,0),0)</f>
        <v>0</v>
      </c>
      <c r="G375" s="159">
        <f>IF(G$2&lt;=analysis_period,IF(SUM($C682:G682)&gt;0,F375+1,0),0)</f>
        <v>0</v>
      </c>
      <c r="H375" s="159">
        <f>IF(H$2&lt;=analysis_period,IF(SUM($C682:H682)&gt;0,G375+1,0),0)</f>
        <v>0</v>
      </c>
      <c r="I375" s="159">
        <f>IF(I$2&lt;=analysis_period,IF(SUM($C682:I682)&gt;0,H375+1,0),0)</f>
        <v>0</v>
      </c>
      <c r="J375" s="159">
        <f>IF(J$2&lt;=analysis_period,IF(SUM($C682:J682)&gt;0,I375+1,0),0)</f>
        <v>0</v>
      </c>
      <c r="K375" s="159">
        <f>IF(K$2&lt;=analysis_period,IF(SUM($C682:K682)&gt;0,J375+1,0),0)</f>
        <v>0</v>
      </c>
      <c r="L375" s="159">
        <f>IF(L$2&lt;=analysis_period,IF(SUM($C682:L682)&gt;0,K375+1,0),0)</f>
        <v>0</v>
      </c>
      <c r="M375" s="159">
        <f>IF(M$2&lt;=analysis_period,IF(SUM($C682:M682)&gt;0,L375+1,0),0)</f>
        <v>0</v>
      </c>
      <c r="N375" s="159">
        <f>IF(N$2&lt;=analysis_period,IF(SUM($C682:N682)&gt;0,M375+1,0),0)</f>
        <v>0</v>
      </c>
      <c r="O375" s="159">
        <f>IF(O$2&lt;=analysis_period,IF(SUM($C682:O682)&gt;0,N375+1,0),0)</f>
        <v>0</v>
      </c>
      <c r="P375" s="159">
        <f>IF(P$2&lt;=analysis_period,IF(SUM($C682:P682)&gt;0,O375+1,0),0)</f>
        <v>0</v>
      </c>
      <c r="Q375" s="159">
        <f>IF(Q$2&lt;=analysis_period,IF(SUM($C682:Q682)&gt;0,P375+1,0),0)</f>
        <v>0</v>
      </c>
      <c r="R375" s="159">
        <f>IF(R$2&lt;=analysis_period,IF(SUM($C682:R682)&gt;0,Q375+1,0),0)</f>
        <v>0</v>
      </c>
      <c r="S375" s="159">
        <f>IF(S$2&lt;=analysis_period,IF(SUM($C682:S682)&gt;0,R375+1,0),0)</f>
        <v>0</v>
      </c>
      <c r="T375" s="159">
        <f>IF(T$2&lt;=analysis_period,IF(SUM($C682:T682)&gt;0,S375+1,0),0)</f>
        <v>0</v>
      </c>
      <c r="U375" s="159">
        <f>IF(U$2&lt;=analysis_period,IF(SUM($C682:U682)&gt;0,T375+1,0),0)</f>
        <v>0</v>
      </c>
      <c r="V375" s="159">
        <f>IF(V$2&lt;=analysis_period,IF(SUM($C682:V682)&gt;0,U375+1,0),0)</f>
        <v>0</v>
      </c>
      <c r="W375" s="159">
        <f>IF(W$2&lt;=analysis_period,IF(SUM($C682:W682)&gt;0,V375+1,0),0)</f>
        <v>0</v>
      </c>
      <c r="X375" s="159">
        <f>IF(X$2&lt;=analysis_period,IF(SUM($C682:X682)&gt;0,W375+1,0),0)</f>
        <v>0</v>
      </c>
      <c r="Y375" s="159">
        <f>IF(Y$2&lt;=analysis_period,IF(SUM($C682:Y682)&gt;0,X375+1,0),0)</f>
        <v>0</v>
      </c>
      <c r="Z375" s="159">
        <f>IF(Z$2&lt;=analysis_period,IF(SUM($C682:Z682)&gt;0,Y375+1,0),0)</f>
        <v>0</v>
      </c>
      <c r="AA375" s="159">
        <f>IF(AA$2&lt;=analysis_period,IF(SUM($C682:AA682)&gt;0,Z375+1,0),0)</f>
        <v>0</v>
      </c>
      <c r="AB375" s="159">
        <f>IF(AB$2&lt;=analysis_period,IF(SUM($C682:AB682)&gt;0,AA375+1,0),0)</f>
        <v>0</v>
      </c>
      <c r="AC375" s="159">
        <f>IF(AC$2&lt;=analysis_period,IF(SUM($C682:AC682)&gt;0,AB375+1,0),0)</f>
        <v>0</v>
      </c>
      <c r="AD375" s="159">
        <f>IF(AD$2&lt;=analysis_period,IF(SUM($C682:AD682)&gt;0,AC375+1,0),0)</f>
        <v>0</v>
      </c>
      <c r="AE375" s="159">
        <f>IF(AE$2&lt;=analysis_period,IF(SUM($C682:AE682)&gt;0,AD375+1,0),0)</f>
        <v>0</v>
      </c>
      <c r="AF375" s="159">
        <f>IF(AF$2&lt;=analysis_period,IF(SUM($C682:AF682)&gt;0,AE375+1,0),0)</f>
        <v>0</v>
      </c>
      <c r="AG375" s="159">
        <f>IF(AG$2&lt;=analysis_period,IF(SUM($C682:AG682)&gt;0,AF375+1,0),0)</f>
        <v>0</v>
      </c>
      <c r="AH375" s="159">
        <f>IF(AH$2&lt;=analysis_period,IF(SUM($C682:AH682)&gt;0,AG375+1,0),0)</f>
        <v>0</v>
      </c>
      <c r="AI375" s="159">
        <f>IF(AI$2&lt;=analysis_period,IF(SUM($C682:AI682)&gt;0,AH375+1,0),0)</f>
        <v>0</v>
      </c>
      <c r="AJ375" s="159">
        <f>IF(AJ$2&lt;=analysis_period,IF(SUM($C682:AJ682)&gt;0,AI375+1,0),0)</f>
        <v>0</v>
      </c>
      <c r="AK375" s="159">
        <f>IF(AK$2&lt;=analysis_period,IF(SUM($C682:AK682)&gt;0,AJ375+1,0),0)</f>
        <v>0</v>
      </c>
      <c r="AL375" s="159">
        <f>IF(AL$2&lt;=analysis_period,IF(SUM($C682:AL682)&gt;0,AK375+1,0),0)</f>
        <v>0</v>
      </c>
      <c r="AM375" s="159">
        <f>IF(AM$2&lt;=analysis_period,IF(SUM($C682:AM682)&gt;0,AL375+1,0),0)</f>
        <v>0</v>
      </c>
      <c r="AN375" s="159">
        <f>IF(AN$2&lt;=analysis_period,IF(SUM($C682:AN682)&gt;0,AM375+1,0),0)</f>
        <v>0</v>
      </c>
      <c r="AO375" s="159">
        <f>IF(AO$2&lt;=analysis_period,IF(SUM($C682:AO682)&gt;0,AN375+1,0),0)</f>
        <v>0</v>
      </c>
      <c r="AP375" s="159">
        <f>IF(AP$2&lt;=analysis_period,IF(SUM($C682:AP682)&gt;0,AO375+1,0),0)</f>
        <v>0</v>
      </c>
    </row>
    <row r="376" spans="1:42" x14ac:dyDescent="0.2">
      <c r="A376" s="4">
        <f t="shared" si="143"/>
        <v>4</v>
      </c>
      <c r="B376" s="4">
        <v>0</v>
      </c>
      <c r="C376" s="159">
        <f>IF(C$2&lt;=analysis_period,IF(SUM($C683:C683)&gt;0,B376+1,0),0)</f>
        <v>0</v>
      </c>
      <c r="D376" s="159">
        <f>IF(D$2&lt;=analysis_period,IF(SUM($C683:D683)&gt;0,C376+1,0),0)</f>
        <v>0</v>
      </c>
      <c r="E376" s="159">
        <f>IF(E$2&lt;=analysis_period,IF(SUM($C683:E683)&gt;0,D376+1,0),0)</f>
        <v>0</v>
      </c>
      <c r="F376" s="159">
        <f>IF(F$2&lt;=analysis_period,IF(SUM($C683:F683)&gt;0,E376+1,0),0)</f>
        <v>0</v>
      </c>
      <c r="G376" s="159">
        <f>IF(G$2&lt;=analysis_period,IF(SUM($C683:G683)&gt;0,F376+1,0),0)</f>
        <v>0</v>
      </c>
      <c r="H376" s="159">
        <f>IF(H$2&lt;=analysis_period,IF(SUM($C683:H683)&gt;0,G376+1,0),0)</f>
        <v>0</v>
      </c>
      <c r="I376" s="159">
        <f>IF(I$2&lt;=analysis_period,IF(SUM($C683:I683)&gt;0,H376+1,0),0)</f>
        <v>0</v>
      </c>
      <c r="J376" s="159">
        <f>IF(J$2&lt;=analysis_period,IF(SUM($C683:J683)&gt;0,I376+1,0),0)</f>
        <v>0</v>
      </c>
      <c r="K376" s="159">
        <f>IF(K$2&lt;=analysis_period,IF(SUM($C683:K683)&gt;0,J376+1,0),0)</f>
        <v>0</v>
      </c>
      <c r="L376" s="159">
        <f>IF(L$2&lt;=analysis_period,IF(SUM($C683:L683)&gt;0,K376+1,0),0)</f>
        <v>0</v>
      </c>
      <c r="M376" s="159">
        <f>IF(M$2&lt;=analysis_period,IF(SUM($C683:M683)&gt;0,L376+1,0),0)</f>
        <v>0</v>
      </c>
      <c r="N376" s="159">
        <f>IF(N$2&lt;=analysis_period,IF(SUM($C683:N683)&gt;0,M376+1,0),0)</f>
        <v>0</v>
      </c>
      <c r="O376" s="159">
        <f>IF(O$2&lt;=analysis_period,IF(SUM($C683:O683)&gt;0,N376+1,0),0)</f>
        <v>0</v>
      </c>
      <c r="P376" s="159">
        <f>IF(P$2&lt;=analysis_period,IF(SUM($C683:P683)&gt;0,O376+1,0),0)</f>
        <v>0</v>
      </c>
      <c r="Q376" s="159">
        <f>IF(Q$2&lt;=analysis_period,IF(SUM($C683:Q683)&gt;0,P376+1,0),0)</f>
        <v>0</v>
      </c>
      <c r="R376" s="159">
        <f>IF(R$2&lt;=analysis_period,IF(SUM($C683:R683)&gt;0,Q376+1,0),0)</f>
        <v>0</v>
      </c>
      <c r="S376" s="159">
        <f>IF(S$2&lt;=analysis_period,IF(SUM($C683:S683)&gt;0,R376+1,0),0)</f>
        <v>0</v>
      </c>
      <c r="T376" s="159">
        <f>IF(T$2&lt;=analysis_period,IF(SUM($C683:T683)&gt;0,S376+1,0),0)</f>
        <v>0</v>
      </c>
      <c r="U376" s="159">
        <f>IF(U$2&lt;=analysis_period,IF(SUM($C683:U683)&gt;0,T376+1,0),0)</f>
        <v>0</v>
      </c>
      <c r="V376" s="159">
        <f>IF(V$2&lt;=analysis_period,IF(SUM($C683:V683)&gt;0,U376+1,0),0)</f>
        <v>0</v>
      </c>
      <c r="W376" s="159">
        <f>IF(W$2&lt;=analysis_period,IF(SUM($C683:W683)&gt;0,V376+1,0),0)</f>
        <v>0</v>
      </c>
      <c r="X376" s="159">
        <f>IF(X$2&lt;=analysis_period,IF(SUM($C683:X683)&gt;0,W376+1,0),0)</f>
        <v>0</v>
      </c>
      <c r="Y376" s="159">
        <f>IF(Y$2&lt;=analysis_period,IF(SUM($C683:Y683)&gt;0,X376+1,0),0)</f>
        <v>0</v>
      </c>
      <c r="Z376" s="159">
        <f>IF(Z$2&lt;=analysis_period,IF(SUM($C683:Z683)&gt;0,Y376+1,0),0)</f>
        <v>0</v>
      </c>
      <c r="AA376" s="159">
        <f>IF(AA$2&lt;=analysis_period,IF(SUM($C683:AA683)&gt;0,Z376+1,0),0)</f>
        <v>0</v>
      </c>
      <c r="AB376" s="159">
        <f>IF(AB$2&lt;=analysis_period,IF(SUM($C683:AB683)&gt;0,AA376+1,0),0)</f>
        <v>0</v>
      </c>
      <c r="AC376" s="159">
        <f>IF(AC$2&lt;=analysis_period,IF(SUM($C683:AC683)&gt;0,AB376+1,0),0)</f>
        <v>0</v>
      </c>
      <c r="AD376" s="159">
        <f>IF(AD$2&lt;=analysis_period,IF(SUM($C683:AD683)&gt;0,AC376+1,0),0)</f>
        <v>0</v>
      </c>
      <c r="AE376" s="159">
        <f>IF(AE$2&lt;=analysis_period,IF(SUM($C683:AE683)&gt;0,AD376+1,0),0)</f>
        <v>0</v>
      </c>
      <c r="AF376" s="159">
        <f>IF(AF$2&lt;=analysis_period,IF(SUM($C683:AF683)&gt;0,AE376+1,0),0)</f>
        <v>0</v>
      </c>
      <c r="AG376" s="159">
        <f>IF(AG$2&lt;=analysis_period,IF(SUM($C683:AG683)&gt;0,AF376+1,0),0)</f>
        <v>0</v>
      </c>
      <c r="AH376" s="159">
        <f>IF(AH$2&lt;=analysis_period,IF(SUM($C683:AH683)&gt;0,AG376+1,0),0)</f>
        <v>0</v>
      </c>
      <c r="AI376" s="159">
        <f>IF(AI$2&lt;=analysis_period,IF(SUM($C683:AI683)&gt;0,AH376+1,0),0)</f>
        <v>0</v>
      </c>
      <c r="AJ376" s="159">
        <f>IF(AJ$2&lt;=analysis_period,IF(SUM($C683:AJ683)&gt;0,AI376+1,0),0)</f>
        <v>0</v>
      </c>
      <c r="AK376" s="159">
        <f>IF(AK$2&lt;=analysis_period,IF(SUM($C683:AK683)&gt;0,AJ376+1,0),0)</f>
        <v>0</v>
      </c>
      <c r="AL376" s="159">
        <f>IF(AL$2&lt;=analysis_period,IF(SUM($C683:AL683)&gt;0,AK376+1,0),0)</f>
        <v>0</v>
      </c>
      <c r="AM376" s="159">
        <f>IF(AM$2&lt;=analysis_period,IF(SUM($C683:AM683)&gt;0,AL376+1,0),0)</f>
        <v>0</v>
      </c>
      <c r="AN376" s="159">
        <f>IF(AN$2&lt;=analysis_period,IF(SUM($C683:AN683)&gt;0,AM376+1,0),0)</f>
        <v>0</v>
      </c>
      <c r="AO376" s="159">
        <f>IF(AO$2&lt;=analysis_period,IF(SUM($C683:AO683)&gt;0,AN376+1,0),0)</f>
        <v>0</v>
      </c>
      <c r="AP376" s="159">
        <f>IF(AP$2&lt;=analysis_period,IF(SUM($C683:AP683)&gt;0,AO376+1,0),0)</f>
        <v>0</v>
      </c>
    </row>
    <row r="377" spans="1:42" x14ac:dyDescent="0.2">
      <c r="A377" s="4">
        <f t="shared" si="143"/>
        <v>5</v>
      </c>
      <c r="B377" s="4">
        <v>0</v>
      </c>
      <c r="C377" s="159">
        <f>IF(C$2&lt;=analysis_period,IF(SUM($C684:C684)&gt;0,B377+1,0),0)</f>
        <v>0</v>
      </c>
      <c r="D377" s="159">
        <f>IF(D$2&lt;=analysis_period,IF(SUM($C684:D684)&gt;0,C377+1,0),0)</f>
        <v>0</v>
      </c>
      <c r="E377" s="159">
        <f>IF(E$2&lt;=analysis_period,IF(SUM($C684:E684)&gt;0,D377+1,0),0)</f>
        <v>0</v>
      </c>
      <c r="F377" s="159">
        <f>IF(F$2&lt;=analysis_period,IF(SUM($C684:F684)&gt;0,E377+1,0),0)</f>
        <v>0</v>
      </c>
      <c r="G377" s="159">
        <f>IF(G$2&lt;=analysis_period,IF(SUM($C684:G684)&gt;0,F377+1,0),0)</f>
        <v>0</v>
      </c>
      <c r="H377" s="159">
        <f>IF(H$2&lt;=analysis_period,IF(SUM($C684:H684)&gt;0,G377+1,0),0)</f>
        <v>0</v>
      </c>
      <c r="I377" s="159">
        <f>IF(I$2&lt;=analysis_period,IF(SUM($C684:I684)&gt;0,H377+1,0),0)</f>
        <v>0</v>
      </c>
      <c r="J377" s="159">
        <f>IF(J$2&lt;=analysis_period,IF(SUM($C684:J684)&gt;0,I377+1,0),0)</f>
        <v>0</v>
      </c>
      <c r="K377" s="159">
        <f>IF(K$2&lt;=analysis_period,IF(SUM($C684:K684)&gt;0,J377+1,0),0)</f>
        <v>0</v>
      </c>
      <c r="L377" s="159">
        <f>IF(L$2&lt;=analysis_period,IF(SUM($C684:L684)&gt;0,K377+1,0),0)</f>
        <v>0</v>
      </c>
      <c r="M377" s="159">
        <f>IF(M$2&lt;=analysis_period,IF(SUM($C684:M684)&gt;0,L377+1,0),0)</f>
        <v>0</v>
      </c>
      <c r="N377" s="159">
        <f>IF(N$2&lt;=analysis_period,IF(SUM($C684:N684)&gt;0,M377+1,0),0)</f>
        <v>0</v>
      </c>
      <c r="O377" s="159">
        <f>IF(O$2&lt;=analysis_period,IF(SUM($C684:O684)&gt;0,N377+1,0),0)</f>
        <v>0</v>
      </c>
      <c r="P377" s="159">
        <f>IF(P$2&lt;=analysis_period,IF(SUM($C684:P684)&gt;0,O377+1,0),0)</f>
        <v>0</v>
      </c>
      <c r="Q377" s="159">
        <f>IF(Q$2&lt;=analysis_period,IF(SUM($C684:Q684)&gt;0,P377+1,0),0)</f>
        <v>0</v>
      </c>
      <c r="R377" s="159">
        <f>IF(R$2&lt;=analysis_period,IF(SUM($C684:R684)&gt;0,Q377+1,0),0)</f>
        <v>0</v>
      </c>
      <c r="S377" s="159">
        <f>IF(S$2&lt;=analysis_period,IF(SUM($C684:S684)&gt;0,R377+1,0),0)</f>
        <v>0</v>
      </c>
      <c r="T377" s="159">
        <f>IF(T$2&lt;=analysis_period,IF(SUM($C684:T684)&gt;0,S377+1,0),0)</f>
        <v>0</v>
      </c>
      <c r="U377" s="159">
        <f>IF(U$2&lt;=analysis_period,IF(SUM($C684:U684)&gt;0,T377+1,0),0)</f>
        <v>0</v>
      </c>
      <c r="V377" s="159">
        <f>IF(V$2&lt;=analysis_period,IF(SUM($C684:V684)&gt;0,U377+1,0),0)</f>
        <v>0</v>
      </c>
      <c r="W377" s="159">
        <f>IF(W$2&lt;=analysis_period,IF(SUM($C684:W684)&gt;0,V377+1,0),0)</f>
        <v>0</v>
      </c>
      <c r="X377" s="159">
        <f>IF(X$2&lt;=analysis_period,IF(SUM($C684:X684)&gt;0,W377+1,0),0)</f>
        <v>0</v>
      </c>
      <c r="Y377" s="159">
        <f>IF(Y$2&lt;=analysis_period,IF(SUM($C684:Y684)&gt;0,X377+1,0),0)</f>
        <v>0</v>
      </c>
      <c r="Z377" s="159">
        <f>IF(Z$2&lt;=analysis_period,IF(SUM($C684:Z684)&gt;0,Y377+1,0),0)</f>
        <v>0</v>
      </c>
      <c r="AA377" s="159">
        <f>IF(AA$2&lt;=analysis_period,IF(SUM($C684:AA684)&gt;0,Z377+1,0),0)</f>
        <v>0</v>
      </c>
      <c r="AB377" s="159">
        <f>IF(AB$2&lt;=analysis_period,IF(SUM($C684:AB684)&gt;0,AA377+1,0),0)</f>
        <v>0</v>
      </c>
      <c r="AC377" s="159">
        <f>IF(AC$2&lt;=analysis_period,IF(SUM($C684:AC684)&gt;0,AB377+1,0),0)</f>
        <v>0</v>
      </c>
      <c r="AD377" s="159">
        <f>IF(AD$2&lt;=analysis_period,IF(SUM($C684:AD684)&gt;0,AC377+1,0),0)</f>
        <v>0</v>
      </c>
      <c r="AE377" s="159">
        <f>IF(AE$2&lt;=analysis_period,IF(SUM($C684:AE684)&gt;0,AD377+1,0),0)</f>
        <v>0</v>
      </c>
      <c r="AF377" s="159">
        <f>IF(AF$2&lt;=analysis_period,IF(SUM($C684:AF684)&gt;0,AE377+1,0),0)</f>
        <v>0</v>
      </c>
      <c r="AG377" s="159">
        <f>IF(AG$2&lt;=analysis_period,IF(SUM($C684:AG684)&gt;0,AF377+1,0),0)</f>
        <v>0</v>
      </c>
      <c r="AH377" s="159">
        <f>IF(AH$2&lt;=analysis_period,IF(SUM($C684:AH684)&gt;0,AG377+1,0),0)</f>
        <v>0</v>
      </c>
      <c r="AI377" s="159">
        <f>IF(AI$2&lt;=analysis_period,IF(SUM($C684:AI684)&gt;0,AH377+1,0),0)</f>
        <v>0</v>
      </c>
      <c r="AJ377" s="159">
        <f>IF(AJ$2&lt;=analysis_period,IF(SUM($C684:AJ684)&gt;0,AI377+1,0),0)</f>
        <v>0</v>
      </c>
      <c r="AK377" s="159">
        <f>IF(AK$2&lt;=analysis_period,IF(SUM($C684:AK684)&gt;0,AJ377+1,0),0)</f>
        <v>0</v>
      </c>
      <c r="AL377" s="159">
        <f>IF(AL$2&lt;=analysis_period,IF(SUM($C684:AL684)&gt;0,AK377+1,0),0)</f>
        <v>0</v>
      </c>
      <c r="AM377" s="159">
        <f>IF(AM$2&lt;=analysis_period,IF(SUM($C684:AM684)&gt;0,AL377+1,0),0)</f>
        <v>0</v>
      </c>
      <c r="AN377" s="159">
        <f>IF(AN$2&lt;=analysis_period,IF(SUM($C684:AN684)&gt;0,AM377+1,0),0)</f>
        <v>0</v>
      </c>
      <c r="AO377" s="159">
        <f>IF(AO$2&lt;=analysis_period,IF(SUM($C684:AO684)&gt;0,AN377+1,0),0)</f>
        <v>0</v>
      </c>
      <c r="AP377" s="159">
        <f>IF(AP$2&lt;=analysis_period,IF(SUM($C684:AP684)&gt;0,AO377+1,0),0)</f>
        <v>0</v>
      </c>
    </row>
    <row r="378" spans="1:42" x14ac:dyDescent="0.2">
      <c r="A378" s="4">
        <f t="shared" si="143"/>
        <v>6</v>
      </c>
      <c r="B378" s="4">
        <v>0</v>
      </c>
      <c r="C378" s="159">
        <f>IF(C$2&lt;=analysis_period,IF(SUM($C685:C685)&gt;0,B378+1,0),0)</f>
        <v>0</v>
      </c>
      <c r="D378" s="159">
        <f>IF(D$2&lt;=analysis_period,IF(SUM($C685:D685)&gt;0,C378+1,0),0)</f>
        <v>0</v>
      </c>
      <c r="E378" s="159">
        <f>IF(E$2&lt;=analysis_period,IF(SUM($C685:E685)&gt;0,D378+1,0),0)</f>
        <v>0</v>
      </c>
      <c r="F378" s="159">
        <f>IF(F$2&lt;=analysis_period,IF(SUM($C685:F685)&gt;0,E378+1,0),0)</f>
        <v>0</v>
      </c>
      <c r="G378" s="159">
        <f>IF(G$2&lt;=analysis_period,IF(SUM($C685:G685)&gt;0,F378+1,0),0)</f>
        <v>0</v>
      </c>
      <c r="H378" s="159">
        <f>IF(H$2&lt;=analysis_period,IF(SUM($C685:H685)&gt;0,G378+1,0),0)</f>
        <v>0</v>
      </c>
      <c r="I378" s="159">
        <f>IF(I$2&lt;=analysis_period,IF(SUM($C685:I685)&gt;0,H378+1,0),0)</f>
        <v>0</v>
      </c>
      <c r="J378" s="159">
        <f>IF(J$2&lt;=analysis_period,IF(SUM($C685:J685)&gt;0,I378+1,0),0)</f>
        <v>0</v>
      </c>
      <c r="K378" s="159">
        <f>IF(K$2&lt;=analysis_period,IF(SUM($C685:K685)&gt;0,J378+1,0),0)</f>
        <v>0</v>
      </c>
      <c r="L378" s="159">
        <f>IF(L$2&lt;=analysis_period,IF(SUM($C685:L685)&gt;0,K378+1,0),0)</f>
        <v>0</v>
      </c>
      <c r="M378" s="159">
        <f>IF(M$2&lt;=analysis_period,IF(SUM($C685:M685)&gt;0,L378+1,0),0)</f>
        <v>0</v>
      </c>
      <c r="N378" s="159">
        <f>IF(N$2&lt;=analysis_period,IF(SUM($C685:N685)&gt;0,M378+1,0),0)</f>
        <v>0</v>
      </c>
      <c r="O378" s="159">
        <f>IF(O$2&lt;=analysis_period,IF(SUM($C685:O685)&gt;0,N378+1,0),0)</f>
        <v>0</v>
      </c>
      <c r="P378" s="159">
        <f>IF(P$2&lt;=analysis_period,IF(SUM($C685:P685)&gt;0,O378+1,0),0)</f>
        <v>0</v>
      </c>
      <c r="Q378" s="159">
        <f>IF(Q$2&lt;=analysis_period,IF(SUM($C685:Q685)&gt;0,P378+1,0),0)</f>
        <v>0</v>
      </c>
      <c r="R378" s="159">
        <f>IF(R$2&lt;=analysis_period,IF(SUM($C685:R685)&gt;0,Q378+1,0),0)</f>
        <v>0</v>
      </c>
      <c r="S378" s="159">
        <f>IF(S$2&lt;=analysis_period,IF(SUM($C685:S685)&gt;0,R378+1,0),0)</f>
        <v>0</v>
      </c>
      <c r="T378" s="159">
        <f>IF(T$2&lt;=analysis_period,IF(SUM($C685:T685)&gt;0,S378+1,0),0)</f>
        <v>0</v>
      </c>
      <c r="U378" s="159">
        <f>IF(U$2&lt;=analysis_period,IF(SUM($C685:U685)&gt;0,T378+1,0),0)</f>
        <v>0</v>
      </c>
      <c r="V378" s="159">
        <f>IF(V$2&lt;=analysis_period,IF(SUM($C685:V685)&gt;0,U378+1,0),0)</f>
        <v>0</v>
      </c>
      <c r="W378" s="159">
        <f>IF(W$2&lt;=analysis_period,IF(SUM($C685:W685)&gt;0,V378+1,0),0)</f>
        <v>0</v>
      </c>
      <c r="X378" s="159">
        <f>IF(X$2&lt;=analysis_period,IF(SUM($C685:X685)&gt;0,W378+1,0),0)</f>
        <v>0</v>
      </c>
      <c r="Y378" s="159">
        <f>IF(Y$2&lt;=analysis_period,IF(SUM($C685:Y685)&gt;0,X378+1,0),0)</f>
        <v>0</v>
      </c>
      <c r="Z378" s="159">
        <f>IF(Z$2&lt;=analysis_period,IF(SUM($C685:Z685)&gt;0,Y378+1,0),0)</f>
        <v>0</v>
      </c>
      <c r="AA378" s="159">
        <f>IF(AA$2&lt;=analysis_period,IF(SUM($C685:AA685)&gt;0,Z378+1,0),0)</f>
        <v>0</v>
      </c>
      <c r="AB378" s="159">
        <f>IF(AB$2&lt;=analysis_period,IF(SUM($C685:AB685)&gt;0,AA378+1,0),0)</f>
        <v>0</v>
      </c>
      <c r="AC378" s="159">
        <f>IF(AC$2&lt;=analysis_period,IF(SUM($C685:AC685)&gt;0,AB378+1,0),0)</f>
        <v>0</v>
      </c>
      <c r="AD378" s="159">
        <f>IF(AD$2&lt;=analysis_period,IF(SUM($C685:AD685)&gt;0,AC378+1,0),0)</f>
        <v>0</v>
      </c>
      <c r="AE378" s="159">
        <f>IF(AE$2&lt;=analysis_period,IF(SUM($C685:AE685)&gt;0,AD378+1,0),0)</f>
        <v>0</v>
      </c>
      <c r="AF378" s="159">
        <f>IF(AF$2&lt;=analysis_period,IF(SUM($C685:AF685)&gt;0,AE378+1,0),0)</f>
        <v>0</v>
      </c>
      <c r="AG378" s="159">
        <f>IF(AG$2&lt;=analysis_period,IF(SUM($C685:AG685)&gt;0,AF378+1,0),0)</f>
        <v>0</v>
      </c>
      <c r="AH378" s="159">
        <f>IF(AH$2&lt;=analysis_period,IF(SUM($C685:AH685)&gt;0,AG378+1,0),0)</f>
        <v>0</v>
      </c>
      <c r="AI378" s="159">
        <f>IF(AI$2&lt;=analysis_period,IF(SUM($C685:AI685)&gt;0,AH378+1,0),0)</f>
        <v>0</v>
      </c>
      <c r="AJ378" s="159">
        <f>IF(AJ$2&lt;=analysis_period,IF(SUM($C685:AJ685)&gt;0,AI378+1,0),0)</f>
        <v>0</v>
      </c>
      <c r="AK378" s="159">
        <f>IF(AK$2&lt;=analysis_period,IF(SUM($C685:AK685)&gt;0,AJ378+1,0),0)</f>
        <v>0</v>
      </c>
      <c r="AL378" s="159">
        <f>IF(AL$2&lt;=analysis_period,IF(SUM($C685:AL685)&gt;0,AK378+1,0),0)</f>
        <v>0</v>
      </c>
      <c r="AM378" s="159">
        <f>IF(AM$2&lt;=analysis_period,IF(SUM($C685:AM685)&gt;0,AL378+1,0),0)</f>
        <v>0</v>
      </c>
      <c r="AN378" s="159">
        <f>IF(AN$2&lt;=analysis_period,IF(SUM($C685:AN685)&gt;0,AM378+1,0),0)</f>
        <v>0</v>
      </c>
      <c r="AO378" s="159">
        <f>IF(AO$2&lt;=analysis_period,IF(SUM($C685:AO685)&gt;0,AN378+1,0),0)</f>
        <v>0</v>
      </c>
      <c r="AP378" s="159">
        <f>IF(AP$2&lt;=analysis_period,IF(SUM($C685:AP685)&gt;0,AO378+1,0),0)</f>
        <v>0</v>
      </c>
    </row>
    <row r="379" spans="1:42" x14ac:dyDescent="0.2">
      <c r="A379" s="4">
        <f t="shared" si="143"/>
        <v>7</v>
      </c>
      <c r="B379" s="4">
        <v>0</v>
      </c>
      <c r="C379" s="159">
        <f>IF(C$2&lt;=analysis_period,IF(SUM($C686:C686)&gt;0,B379+1,0),0)</f>
        <v>0</v>
      </c>
      <c r="D379" s="159">
        <f>IF(D$2&lt;=analysis_period,IF(SUM($C686:D686)&gt;0,C379+1,0),0)</f>
        <v>0</v>
      </c>
      <c r="E379" s="159">
        <f>IF(E$2&lt;=analysis_period,IF(SUM($C686:E686)&gt;0,D379+1,0),0)</f>
        <v>0</v>
      </c>
      <c r="F379" s="159">
        <f>IF(F$2&lt;=analysis_period,IF(SUM($C686:F686)&gt;0,E379+1,0),0)</f>
        <v>0</v>
      </c>
      <c r="G379" s="159">
        <f>IF(G$2&lt;=analysis_period,IF(SUM($C686:G686)&gt;0,F379+1,0),0)</f>
        <v>0</v>
      </c>
      <c r="H379" s="159">
        <f>IF(H$2&lt;=analysis_period,IF(SUM($C686:H686)&gt;0,G379+1,0),0)</f>
        <v>0</v>
      </c>
      <c r="I379" s="159">
        <f>IF(I$2&lt;=analysis_period,IF(SUM($C686:I686)&gt;0,H379+1,0),0)</f>
        <v>0</v>
      </c>
      <c r="J379" s="159">
        <f>IF(J$2&lt;=analysis_period,IF(SUM($C686:J686)&gt;0,I379+1,0),0)</f>
        <v>0</v>
      </c>
      <c r="K379" s="159">
        <f>IF(K$2&lt;=analysis_period,IF(SUM($C686:K686)&gt;0,J379+1,0),0)</f>
        <v>0</v>
      </c>
      <c r="L379" s="159">
        <f>IF(L$2&lt;=analysis_period,IF(SUM($C686:L686)&gt;0,K379+1,0),0)</f>
        <v>0</v>
      </c>
      <c r="M379" s="159">
        <f>IF(M$2&lt;=analysis_period,IF(SUM($C686:M686)&gt;0,L379+1,0),0)</f>
        <v>0</v>
      </c>
      <c r="N379" s="159">
        <f>IF(N$2&lt;=analysis_period,IF(SUM($C686:N686)&gt;0,M379+1,0),0)</f>
        <v>0</v>
      </c>
      <c r="O379" s="159">
        <f>IF(O$2&lt;=analysis_period,IF(SUM($C686:O686)&gt;0,N379+1,0),0)</f>
        <v>0</v>
      </c>
      <c r="P379" s="159">
        <f>IF(P$2&lt;=analysis_period,IF(SUM($C686:P686)&gt;0,O379+1,0),0)</f>
        <v>0</v>
      </c>
      <c r="Q379" s="159">
        <f>IF(Q$2&lt;=analysis_period,IF(SUM($C686:Q686)&gt;0,P379+1,0),0)</f>
        <v>0</v>
      </c>
      <c r="R379" s="159">
        <f>IF(R$2&lt;=analysis_period,IF(SUM($C686:R686)&gt;0,Q379+1,0),0)</f>
        <v>0</v>
      </c>
      <c r="S379" s="159">
        <f>IF(S$2&lt;=analysis_period,IF(SUM($C686:S686)&gt;0,R379+1,0),0)</f>
        <v>0</v>
      </c>
      <c r="T379" s="159">
        <f>IF(T$2&lt;=analysis_period,IF(SUM($C686:T686)&gt;0,S379+1,0),0)</f>
        <v>0</v>
      </c>
      <c r="U379" s="159">
        <f>IF(U$2&lt;=analysis_period,IF(SUM($C686:U686)&gt;0,T379+1,0),0)</f>
        <v>0</v>
      </c>
      <c r="V379" s="159">
        <f>IF(V$2&lt;=analysis_period,IF(SUM($C686:V686)&gt;0,U379+1,0),0)</f>
        <v>0</v>
      </c>
      <c r="W379" s="159">
        <f>IF(W$2&lt;=analysis_period,IF(SUM($C686:W686)&gt;0,V379+1,0),0)</f>
        <v>0</v>
      </c>
      <c r="X379" s="159">
        <f>IF(X$2&lt;=analysis_period,IF(SUM($C686:X686)&gt;0,W379+1,0),0)</f>
        <v>0</v>
      </c>
      <c r="Y379" s="159">
        <f>IF(Y$2&lt;=analysis_period,IF(SUM($C686:Y686)&gt;0,X379+1,0),0)</f>
        <v>0</v>
      </c>
      <c r="Z379" s="159">
        <f>IF(Z$2&lt;=analysis_period,IF(SUM($C686:Z686)&gt;0,Y379+1,0),0)</f>
        <v>0</v>
      </c>
      <c r="AA379" s="159">
        <f>IF(AA$2&lt;=analysis_period,IF(SUM($C686:AA686)&gt;0,Z379+1,0),0)</f>
        <v>0</v>
      </c>
      <c r="AB379" s="159">
        <f>IF(AB$2&lt;=analysis_period,IF(SUM($C686:AB686)&gt;0,AA379+1,0),0)</f>
        <v>0</v>
      </c>
      <c r="AC379" s="159">
        <f>IF(AC$2&lt;=analysis_period,IF(SUM($C686:AC686)&gt;0,AB379+1,0),0)</f>
        <v>0</v>
      </c>
      <c r="AD379" s="159">
        <f>IF(AD$2&lt;=analysis_period,IF(SUM($C686:AD686)&gt;0,AC379+1,0),0)</f>
        <v>0</v>
      </c>
      <c r="AE379" s="159">
        <f>IF(AE$2&lt;=analysis_period,IF(SUM($C686:AE686)&gt;0,AD379+1,0),0)</f>
        <v>0</v>
      </c>
      <c r="AF379" s="159">
        <f>IF(AF$2&lt;=analysis_period,IF(SUM($C686:AF686)&gt;0,AE379+1,0),0)</f>
        <v>0</v>
      </c>
      <c r="AG379" s="159">
        <f>IF(AG$2&lt;=analysis_period,IF(SUM($C686:AG686)&gt;0,AF379+1,0),0)</f>
        <v>0</v>
      </c>
      <c r="AH379" s="159">
        <f>IF(AH$2&lt;=analysis_period,IF(SUM($C686:AH686)&gt;0,AG379+1,0),0)</f>
        <v>0</v>
      </c>
      <c r="AI379" s="159">
        <f>IF(AI$2&lt;=analysis_period,IF(SUM($C686:AI686)&gt;0,AH379+1,0),0)</f>
        <v>0</v>
      </c>
      <c r="AJ379" s="159">
        <f>IF(AJ$2&lt;=analysis_period,IF(SUM($C686:AJ686)&gt;0,AI379+1,0),0)</f>
        <v>0</v>
      </c>
      <c r="AK379" s="159">
        <f>IF(AK$2&lt;=analysis_period,IF(SUM($C686:AK686)&gt;0,AJ379+1,0),0)</f>
        <v>0</v>
      </c>
      <c r="AL379" s="159">
        <f>IF(AL$2&lt;=analysis_period,IF(SUM($C686:AL686)&gt;0,AK379+1,0),0)</f>
        <v>0</v>
      </c>
      <c r="AM379" s="159">
        <f>IF(AM$2&lt;=analysis_period,IF(SUM($C686:AM686)&gt;0,AL379+1,0),0)</f>
        <v>0</v>
      </c>
      <c r="AN379" s="159">
        <f>IF(AN$2&lt;=analysis_period,IF(SUM($C686:AN686)&gt;0,AM379+1,0),0)</f>
        <v>0</v>
      </c>
      <c r="AO379" s="159">
        <f>IF(AO$2&lt;=analysis_period,IF(SUM($C686:AO686)&gt;0,AN379+1,0),0)</f>
        <v>0</v>
      </c>
      <c r="AP379" s="159">
        <f>IF(AP$2&lt;=analysis_period,IF(SUM($C686:AP686)&gt;0,AO379+1,0),0)</f>
        <v>0</v>
      </c>
    </row>
    <row r="380" spans="1:42" x14ac:dyDescent="0.2">
      <c r="A380" s="4">
        <f t="shared" si="143"/>
        <v>8</v>
      </c>
      <c r="B380" s="4">
        <v>0</v>
      </c>
      <c r="C380" s="159">
        <f>IF(C$2&lt;=analysis_period,IF(SUM($C687:C687)&gt;0,B380+1,0),0)</f>
        <v>0</v>
      </c>
      <c r="D380" s="159">
        <f>IF(D$2&lt;=analysis_period,IF(SUM($C687:D687)&gt;0,C380+1,0),0)</f>
        <v>0</v>
      </c>
      <c r="E380" s="159">
        <f>IF(E$2&lt;=analysis_period,IF(SUM($C687:E687)&gt;0,D380+1,0),0)</f>
        <v>0</v>
      </c>
      <c r="F380" s="159">
        <f>IF(F$2&lt;=analysis_period,IF(SUM($C687:F687)&gt;0,E380+1,0),0)</f>
        <v>0</v>
      </c>
      <c r="G380" s="159">
        <f>IF(G$2&lt;=analysis_period,IF(SUM($C687:G687)&gt;0,F380+1,0),0)</f>
        <v>0</v>
      </c>
      <c r="H380" s="159">
        <f>IF(H$2&lt;=analysis_period,IF(SUM($C687:H687)&gt;0,G380+1,0),0)</f>
        <v>0</v>
      </c>
      <c r="I380" s="159">
        <f>IF(I$2&lt;=analysis_period,IF(SUM($C687:I687)&gt;0,H380+1,0),0)</f>
        <v>0</v>
      </c>
      <c r="J380" s="159">
        <f>IF(J$2&lt;=analysis_period,IF(SUM($C687:J687)&gt;0,I380+1,0),0)</f>
        <v>0</v>
      </c>
      <c r="K380" s="159">
        <f>IF(K$2&lt;=analysis_period,IF(SUM($C687:K687)&gt;0,J380+1,0),0)</f>
        <v>0</v>
      </c>
      <c r="L380" s="159">
        <f>IF(L$2&lt;=analysis_period,IF(SUM($C687:L687)&gt;0,K380+1,0),0)</f>
        <v>0</v>
      </c>
      <c r="M380" s="159">
        <f>IF(M$2&lt;=analysis_period,IF(SUM($C687:M687)&gt;0,L380+1,0),0)</f>
        <v>0</v>
      </c>
      <c r="N380" s="159">
        <f>IF(N$2&lt;=analysis_period,IF(SUM($C687:N687)&gt;0,M380+1,0),0)</f>
        <v>0</v>
      </c>
      <c r="O380" s="159">
        <f>IF(O$2&lt;=analysis_period,IF(SUM($C687:O687)&gt;0,N380+1,0),0)</f>
        <v>0</v>
      </c>
      <c r="P380" s="159">
        <f>IF(P$2&lt;=analysis_period,IF(SUM($C687:P687)&gt;0,O380+1,0),0)</f>
        <v>0</v>
      </c>
      <c r="Q380" s="159">
        <f>IF(Q$2&lt;=analysis_period,IF(SUM($C687:Q687)&gt;0,P380+1,0),0)</f>
        <v>0</v>
      </c>
      <c r="R380" s="159">
        <f>IF(R$2&lt;=analysis_period,IF(SUM($C687:R687)&gt;0,Q380+1,0),0)</f>
        <v>0</v>
      </c>
      <c r="S380" s="159">
        <f>IF(S$2&lt;=analysis_period,IF(SUM($C687:S687)&gt;0,R380+1,0),0)</f>
        <v>0</v>
      </c>
      <c r="T380" s="159">
        <f>IF(T$2&lt;=analysis_period,IF(SUM($C687:T687)&gt;0,S380+1,0),0)</f>
        <v>0</v>
      </c>
      <c r="U380" s="159">
        <f>IF(U$2&lt;=analysis_period,IF(SUM($C687:U687)&gt;0,T380+1,0),0)</f>
        <v>0</v>
      </c>
      <c r="V380" s="159">
        <f>IF(V$2&lt;=analysis_period,IF(SUM($C687:V687)&gt;0,U380+1,0),0)</f>
        <v>0</v>
      </c>
      <c r="W380" s="159">
        <f>IF(W$2&lt;=analysis_period,IF(SUM($C687:W687)&gt;0,V380+1,0),0)</f>
        <v>0</v>
      </c>
      <c r="X380" s="159">
        <f>IF(X$2&lt;=analysis_period,IF(SUM($C687:X687)&gt;0,W380+1,0),0)</f>
        <v>0</v>
      </c>
      <c r="Y380" s="159">
        <f>IF(Y$2&lt;=analysis_period,IF(SUM($C687:Y687)&gt;0,X380+1,0),0)</f>
        <v>0</v>
      </c>
      <c r="Z380" s="159">
        <f>IF(Z$2&lt;=analysis_period,IF(SUM($C687:Z687)&gt;0,Y380+1,0),0)</f>
        <v>0</v>
      </c>
      <c r="AA380" s="159">
        <f>IF(AA$2&lt;=analysis_period,IF(SUM($C687:AA687)&gt;0,Z380+1,0),0)</f>
        <v>0</v>
      </c>
      <c r="AB380" s="159">
        <f>IF(AB$2&lt;=analysis_period,IF(SUM($C687:AB687)&gt;0,AA380+1,0),0)</f>
        <v>0</v>
      </c>
      <c r="AC380" s="159">
        <f>IF(AC$2&lt;=analysis_period,IF(SUM($C687:AC687)&gt;0,AB380+1,0),0)</f>
        <v>0</v>
      </c>
      <c r="AD380" s="159">
        <f>IF(AD$2&lt;=analysis_period,IF(SUM($C687:AD687)&gt;0,AC380+1,0),0)</f>
        <v>0</v>
      </c>
      <c r="AE380" s="159">
        <f>IF(AE$2&lt;=analysis_period,IF(SUM($C687:AE687)&gt;0,AD380+1,0),0)</f>
        <v>0</v>
      </c>
      <c r="AF380" s="159">
        <f>IF(AF$2&lt;=analysis_period,IF(SUM($C687:AF687)&gt;0,AE380+1,0),0)</f>
        <v>0</v>
      </c>
      <c r="AG380" s="159">
        <f>IF(AG$2&lt;=analysis_period,IF(SUM($C687:AG687)&gt;0,AF380+1,0),0)</f>
        <v>0</v>
      </c>
      <c r="AH380" s="159">
        <f>IF(AH$2&lt;=analysis_period,IF(SUM($C687:AH687)&gt;0,AG380+1,0),0)</f>
        <v>0</v>
      </c>
      <c r="AI380" s="159">
        <f>IF(AI$2&lt;=analysis_period,IF(SUM($C687:AI687)&gt;0,AH380+1,0),0)</f>
        <v>0</v>
      </c>
      <c r="AJ380" s="159">
        <f>IF(AJ$2&lt;=analysis_period,IF(SUM($C687:AJ687)&gt;0,AI380+1,0),0)</f>
        <v>0</v>
      </c>
      <c r="AK380" s="159">
        <f>IF(AK$2&lt;=analysis_period,IF(SUM($C687:AK687)&gt;0,AJ380+1,0),0)</f>
        <v>0</v>
      </c>
      <c r="AL380" s="159">
        <f>IF(AL$2&lt;=analysis_period,IF(SUM($C687:AL687)&gt;0,AK380+1,0),0)</f>
        <v>0</v>
      </c>
      <c r="AM380" s="159">
        <f>IF(AM$2&lt;=analysis_period,IF(SUM($C687:AM687)&gt;0,AL380+1,0),0)</f>
        <v>0</v>
      </c>
      <c r="AN380" s="159">
        <f>IF(AN$2&lt;=analysis_period,IF(SUM($C687:AN687)&gt;0,AM380+1,0),0)</f>
        <v>0</v>
      </c>
      <c r="AO380" s="159">
        <f>IF(AO$2&lt;=analysis_period,IF(SUM($C687:AO687)&gt;0,AN380+1,0),0)</f>
        <v>0</v>
      </c>
      <c r="AP380" s="159">
        <f>IF(AP$2&lt;=analysis_period,IF(SUM($C687:AP687)&gt;0,AO380+1,0),0)</f>
        <v>0</v>
      </c>
    </row>
    <row r="381" spans="1:42" x14ac:dyDescent="0.2">
      <c r="A381" s="4">
        <f>A380+1</f>
        <v>9</v>
      </c>
      <c r="B381" s="4">
        <v>0</v>
      </c>
      <c r="C381" s="159">
        <f>IF(C$2&lt;=analysis_period,IF(SUM($C688:C688)&gt;0,B381+1,0),0)</f>
        <v>0</v>
      </c>
      <c r="D381" s="159">
        <f>IF(D$2&lt;=analysis_period,IF(SUM($C688:D688)&gt;0,C381+1,0),0)</f>
        <v>0</v>
      </c>
      <c r="E381" s="159">
        <f>IF(E$2&lt;=analysis_period,IF(SUM($C688:E688)&gt;0,D381+1,0),0)</f>
        <v>0</v>
      </c>
      <c r="F381" s="159">
        <f>IF(F$2&lt;=analysis_period,IF(SUM($C688:F688)&gt;0,E381+1,0),0)</f>
        <v>0</v>
      </c>
      <c r="G381" s="159">
        <f>IF(G$2&lt;=analysis_period,IF(SUM($C688:G688)&gt;0,F381+1,0),0)</f>
        <v>0</v>
      </c>
      <c r="H381" s="159">
        <f>IF(H$2&lt;=analysis_period,IF(SUM($C688:H688)&gt;0,G381+1,0),0)</f>
        <v>0</v>
      </c>
      <c r="I381" s="159">
        <f>IF(I$2&lt;=analysis_period,IF(SUM($C688:I688)&gt;0,H381+1,0),0)</f>
        <v>0</v>
      </c>
      <c r="J381" s="159">
        <f>IF(J$2&lt;=analysis_period,IF(SUM($C688:J688)&gt;0,I381+1,0),0)</f>
        <v>0</v>
      </c>
      <c r="K381" s="159">
        <f>IF(K$2&lt;=analysis_period,IF(SUM($C688:K688)&gt;0,J381+1,0),0)</f>
        <v>0</v>
      </c>
      <c r="L381" s="159">
        <f>IF(L$2&lt;=analysis_period,IF(SUM($C688:L688)&gt;0,K381+1,0),0)</f>
        <v>0</v>
      </c>
      <c r="M381" s="159">
        <f>IF(M$2&lt;=analysis_period,IF(SUM($C688:M688)&gt;0,L381+1,0),0)</f>
        <v>0</v>
      </c>
      <c r="N381" s="159">
        <f>IF(N$2&lt;=analysis_period,IF(SUM($C688:N688)&gt;0,M381+1,0),0)</f>
        <v>0</v>
      </c>
      <c r="O381" s="159">
        <f>IF(O$2&lt;=analysis_period,IF(SUM($C688:O688)&gt;0,N381+1,0),0)</f>
        <v>0</v>
      </c>
      <c r="P381" s="159">
        <f>IF(P$2&lt;=analysis_period,IF(SUM($C688:P688)&gt;0,O381+1,0),0)</f>
        <v>0</v>
      </c>
      <c r="Q381" s="159">
        <f>IF(Q$2&lt;=analysis_period,IF(SUM($C688:Q688)&gt;0,P381+1,0),0)</f>
        <v>0</v>
      </c>
      <c r="R381" s="159">
        <f>IF(R$2&lt;=analysis_period,IF(SUM($C688:R688)&gt;0,Q381+1,0),0)</f>
        <v>0</v>
      </c>
      <c r="S381" s="159">
        <f>IF(S$2&lt;=analysis_period,IF(SUM($C688:S688)&gt;0,R381+1,0),0)</f>
        <v>0</v>
      </c>
      <c r="T381" s="159">
        <f>IF(T$2&lt;=analysis_period,IF(SUM($C688:T688)&gt;0,S381+1,0),0)</f>
        <v>0</v>
      </c>
      <c r="U381" s="159">
        <f>IF(U$2&lt;=analysis_period,IF(SUM($C688:U688)&gt;0,T381+1,0),0)</f>
        <v>0</v>
      </c>
      <c r="V381" s="159">
        <f>IF(V$2&lt;=analysis_period,IF(SUM($C688:V688)&gt;0,U381+1,0),0)</f>
        <v>0</v>
      </c>
      <c r="W381" s="159">
        <f>IF(W$2&lt;=analysis_period,IF(SUM($C688:W688)&gt;0,V381+1,0),0)</f>
        <v>0</v>
      </c>
      <c r="X381" s="159">
        <f>IF(X$2&lt;=analysis_period,IF(SUM($C688:X688)&gt;0,W381+1,0),0)</f>
        <v>0</v>
      </c>
      <c r="Y381" s="159">
        <f>IF(Y$2&lt;=analysis_period,IF(SUM($C688:Y688)&gt;0,X381+1,0),0)</f>
        <v>0</v>
      </c>
      <c r="Z381" s="159">
        <f>IF(Z$2&lt;=analysis_period,IF(SUM($C688:Z688)&gt;0,Y381+1,0),0)</f>
        <v>0</v>
      </c>
      <c r="AA381" s="159">
        <f>IF(AA$2&lt;=analysis_period,IF(SUM($C688:AA688)&gt;0,Z381+1,0),0)</f>
        <v>0</v>
      </c>
      <c r="AB381" s="159">
        <f>IF(AB$2&lt;=analysis_period,IF(SUM($C688:AB688)&gt;0,AA381+1,0),0)</f>
        <v>0</v>
      </c>
      <c r="AC381" s="159">
        <f>IF(AC$2&lt;=analysis_period,IF(SUM($C688:AC688)&gt;0,AB381+1,0),0)</f>
        <v>0</v>
      </c>
      <c r="AD381" s="159">
        <f>IF(AD$2&lt;=analysis_period,IF(SUM($C688:AD688)&gt;0,AC381+1,0),0)</f>
        <v>0</v>
      </c>
      <c r="AE381" s="159">
        <f>IF(AE$2&lt;=analysis_period,IF(SUM($C688:AE688)&gt;0,AD381+1,0),0)</f>
        <v>0</v>
      </c>
      <c r="AF381" s="159">
        <f>IF(AF$2&lt;=analysis_period,IF(SUM($C688:AF688)&gt;0,AE381+1,0),0)</f>
        <v>0</v>
      </c>
      <c r="AG381" s="159">
        <f>IF(AG$2&lt;=analysis_period,IF(SUM($C688:AG688)&gt;0,AF381+1,0),0)</f>
        <v>0</v>
      </c>
      <c r="AH381" s="159">
        <f>IF(AH$2&lt;=analysis_period,IF(SUM($C688:AH688)&gt;0,AG381+1,0),0)</f>
        <v>0</v>
      </c>
      <c r="AI381" s="159">
        <f>IF(AI$2&lt;=analysis_period,IF(SUM($C688:AI688)&gt;0,AH381+1,0),0)</f>
        <v>0</v>
      </c>
      <c r="AJ381" s="159">
        <f>IF(AJ$2&lt;=analysis_period,IF(SUM($C688:AJ688)&gt;0,AI381+1,0),0)</f>
        <v>0</v>
      </c>
      <c r="AK381" s="159">
        <f>IF(AK$2&lt;=analysis_period,IF(SUM($C688:AK688)&gt;0,AJ381+1,0),0)</f>
        <v>0</v>
      </c>
      <c r="AL381" s="159">
        <f>IF(AL$2&lt;=analysis_period,IF(SUM($C688:AL688)&gt;0,AK381+1,0),0)</f>
        <v>0</v>
      </c>
      <c r="AM381" s="159">
        <f>IF(AM$2&lt;=analysis_period,IF(SUM($C688:AM688)&gt;0,AL381+1,0),0)</f>
        <v>0</v>
      </c>
      <c r="AN381" s="159">
        <f>IF(AN$2&lt;=analysis_period,IF(SUM($C688:AN688)&gt;0,AM381+1,0),0)</f>
        <v>0</v>
      </c>
      <c r="AO381" s="159">
        <f>IF(AO$2&lt;=analysis_period,IF(SUM($C688:AO688)&gt;0,AN381+1,0),0)</f>
        <v>0</v>
      </c>
      <c r="AP381" s="159">
        <f>IF(AP$2&lt;=analysis_period,IF(SUM($C688:AP688)&gt;0,AO381+1,0),0)</f>
        <v>0</v>
      </c>
    </row>
    <row r="382" spans="1:42" x14ac:dyDescent="0.2">
      <c r="A382" s="4">
        <f t="shared" si="143"/>
        <v>10</v>
      </c>
      <c r="B382" s="4">
        <v>0</v>
      </c>
      <c r="C382" s="159">
        <f>IF(C$2&lt;=analysis_period,IF(SUM($C689:C689)&gt;0,B382+1,0),0)</f>
        <v>0</v>
      </c>
      <c r="D382" s="159">
        <f>IF(D$2&lt;=analysis_period,IF(SUM($C689:D689)&gt;0,C382+1,0),0)</f>
        <v>0</v>
      </c>
      <c r="E382" s="159">
        <f>IF(E$2&lt;=analysis_period,IF(SUM($C689:E689)&gt;0,D382+1,0),0)</f>
        <v>0</v>
      </c>
      <c r="F382" s="159">
        <f>IF(F$2&lt;=analysis_period,IF(SUM($C689:F689)&gt;0,E382+1,0),0)</f>
        <v>0</v>
      </c>
      <c r="G382" s="159">
        <f>IF(G$2&lt;=analysis_period,IF(SUM($C689:G689)&gt;0,F382+1,0),0)</f>
        <v>0</v>
      </c>
      <c r="H382" s="159">
        <f>IF(H$2&lt;=analysis_period,IF(SUM($C689:H689)&gt;0,G382+1,0),0)</f>
        <v>0</v>
      </c>
      <c r="I382" s="159">
        <f>IF(I$2&lt;=analysis_period,IF(SUM($C689:I689)&gt;0,H382+1,0),0)</f>
        <v>0</v>
      </c>
      <c r="J382" s="159">
        <f>IF(J$2&lt;=analysis_period,IF(SUM($C689:J689)&gt;0,I382+1,0),0)</f>
        <v>0</v>
      </c>
      <c r="K382" s="159">
        <f>IF(K$2&lt;=analysis_period,IF(SUM($C689:K689)&gt;0,J382+1,0),0)</f>
        <v>0</v>
      </c>
      <c r="L382" s="159">
        <f>IF(L$2&lt;=analysis_period,IF(SUM($C689:L689)&gt;0,K382+1,0),0)</f>
        <v>0</v>
      </c>
      <c r="M382" s="159">
        <f>IF(M$2&lt;=analysis_period,IF(SUM($C689:M689)&gt;0,L382+1,0),0)</f>
        <v>0</v>
      </c>
      <c r="N382" s="159">
        <f>IF(N$2&lt;=analysis_period,IF(SUM($C689:N689)&gt;0,M382+1,0),0)</f>
        <v>0</v>
      </c>
      <c r="O382" s="159">
        <f>IF(O$2&lt;=analysis_period,IF(SUM($C689:O689)&gt;0,N382+1,0),0)</f>
        <v>0</v>
      </c>
      <c r="P382" s="159">
        <f>IF(P$2&lt;=analysis_period,IF(SUM($C689:P689)&gt;0,O382+1,0),0)</f>
        <v>0</v>
      </c>
      <c r="Q382" s="159">
        <f>IF(Q$2&lt;=analysis_period,IF(SUM($C689:Q689)&gt;0,P382+1,0),0)</f>
        <v>0</v>
      </c>
      <c r="R382" s="159">
        <f>IF(R$2&lt;=analysis_period,IF(SUM($C689:R689)&gt;0,Q382+1,0),0)</f>
        <v>0</v>
      </c>
      <c r="S382" s="159">
        <f>IF(S$2&lt;=analysis_period,IF(SUM($C689:S689)&gt;0,R382+1,0),0)</f>
        <v>0</v>
      </c>
      <c r="T382" s="159">
        <f>IF(T$2&lt;=analysis_period,IF(SUM($C689:T689)&gt;0,S382+1,0),0)</f>
        <v>0</v>
      </c>
      <c r="U382" s="159">
        <f>IF(U$2&lt;=analysis_period,IF(SUM($C689:U689)&gt;0,T382+1,0),0)</f>
        <v>0</v>
      </c>
      <c r="V382" s="159">
        <f>IF(V$2&lt;=analysis_period,IF(SUM($C689:V689)&gt;0,U382+1,0),0)</f>
        <v>0</v>
      </c>
      <c r="W382" s="159">
        <f>IF(W$2&lt;=analysis_period,IF(SUM($C689:W689)&gt;0,V382+1,0),0)</f>
        <v>0</v>
      </c>
      <c r="X382" s="159">
        <f>IF(X$2&lt;=analysis_period,IF(SUM($C689:X689)&gt;0,W382+1,0),0)</f>
        <v>0</v>
      </c>
      <c r="Y382" s="159">
        <f>IF(Y$2&lt;=analysis_period,IF(SUM($C689:Y689)&gt;0,X382+1,0),0)</f>
        <v>0</v>
      </c>
      <c r="Z382" s="159">
        <f>IF(Z$2&lt;=analysis_period,IF(SUM($C689:Z689)&gt;0,Y382+1,0),0)</f>
        <v>0</v>
      </c>
      <c r="AA382" s="159">
        <f>IF(AA$2&lt;=analysis_period,IF(SUM($C689:AA689)&gt;0,Z382+1,0),0)</f>
        <v>0</v>
      </c>
      <c r="AB382" s="159">
        <f>IF(AB$2&lt;=analysis_period,IF(SUM($C689:AB689)&gt;0,AA382+1,0),0)</f>
        <v>0</v>
      </c>
      <c r="AC382" s="159">
        <f>IF(AC$2&lt;=analysis_period,IF(SUM($C689:AC689)&gt;0,AB382+1,0),0)</f>
        <v>0</v>
      </c>
      <c r="AD382" s="159">
        <f>IF(AD$2&lt;=analysis_period,IF(SUM($C689:AD689)&gt;0,AC382+1,0),0)</f>
        <v>0</v>
      </c>
      <c r="AE382" s="159">
        <f>IF(AE$2&lt;=analysis_period,IF(SUM($C689:AE689)&gt;0,AD382+1,0),0)</f>
        <v>0</v>
      </c>
      <c r="AF382" s="159">
        <f>IF(AF$2&lt;=analysis_period,IF(SUM($C689:AF689)&gt;0,AE382+1,0),0)</f>
        <v>0</v>
      </c>
      <c r="AG382" s="159">
        <f>IF(AG$2&lt;=analysis_period,IF(SUM($C689:AG689)&gt;0,AF382+1,0),0)</f>
        <v>0</v>
      </c>
      <c r="AH382" s="159">
        <f>IF(AH$2&lt;=analysis_period,IF(SUM($C689:AH689)&gt;0,AG382+1,0),0)</f>
        <v>0</v>
      </c>
      <c r="AI382" s="159">
        <f>IF(AI$2&lt;=analysis_period,IF(SUM($C689:AI689)&gt;0,AH382+1,0),0)</f>
        <v>0</v>
      </c>
      <c r="AJ382" s="159">
        <f>IF(AJ$2&lt;=analysis_period,IF(SUM($C689:AJ689)&gt;0,AI382+1,0),0)</f>
        <v>0</v>
      </c>
      <c r="AK382" s="159">
        <f>IF(AK$2&lt;=analysis_period,IF(SUM($C689:AK689)&gt;0,AJ382+1,0),0)</f>
        <v>0</v>
      </c>
      <c r="AL382" s="159">
        <f>IF(AL$2&lt;=analysis_period,IF(SUM($C689:AL689)&gt;0,AK382+1,0),0)</f>
        <v>0</v>
      </c>
      <c r="AM382" s="159">
        <f>IF(AM$2&lt;=analysis_period,IF(SUM($C689:AM689)&gt;0,AL382+1,0),0)</f>
        <v>0</v>
      </c>
      <c r="AN382" s="159">
        <f>IF(AN$2&lt;=analysis_period,IF(SUM($C689:AN689)&gt;0,AM382+1,0),0)</f>
        <v>0</v>
      </c>
      <c r="AO382" s="159">
        <f>IF(AO$2&lt;=analysis_period,IF(SUM($C689:AO689)&gt;0,AN382+1,0),0)</f>
        <v>0</v>
      </c>
      <c r="AP382" s="159">
        <f>IF(AP$2&lt;=analysis_period,IF(SUM($C689:AP689)&gt;0,AO382+1,0),0)</f>
        <v>0</v>
      </c>
    </row>
    <row r="383" spans="1:42" x14ac:dyDescent="0.2">
      <c r="A383" s="22" t="s">
        <v>66</v>
      </c>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row>
    <row r="384" spans="1:42" x14ac:dyDescent="0.2">
      <c r="A384" s="4">
        <v>1</v>
      </c>
      <c r="B384" s="176">
        <f>SUM(C384:AP384)</f>
        <v>14129738.209737662</v>
      </c>
      <c r="C384" s="159">
        <f t="shared" ref="C384:AP384" si="144">LOOKUP(C373,$B$368:$AP$368,$B$369:$AP$369)/100*$B680</f>
        <v>0</v>
      </c>
      <c r="D384" s="159">
        <f t="shared" si="144"/>
        <v>0</v>
      </c>
      <c r="E384" s="159">
        <f t="shared" si="144"/>
        <v>0</v>
      </c>
      <c r="F384" s="159">
        <f t="shared" si="144"/>
        <v>0</v>
      </c>
      <c r="G384" s="159">
        <f t="shared" si="144"/>
        <v>0</v>
      </c>
      <c r="H384" s="159">
        <f t="shared" si="144"/>
        <v>0</v>
      </c>
      <c r="I384" s="159">
        <f t="shared" si="144"/>
        <v>0</v>
      </c>
      <c r="J384" s="159">
        <f t="shared" si="144"/>
        <v>0</v>
      </c>
      <c r="K384" s="159">
        <f t="shared" si="144"/>
        <v>0</v>
      </c>
      <c r="L384" s="159">
        <f t="shared" si="144"/>
        <v>0</v>
      </c>
      <c r="M384" s="159">
        <f t="shared" si="144"/>
        <v>0</v>
      </c>
      <c r="N384" s="159">
        <f t="shared" si="144"/>
        <v>0</v>
      </c>
      <c r="O384" s="159">
        <f t="shared" si="144"/>
        <v>0</v>
      </c>
      <c r="P384" s="159">
        <f t="shared" si="144"/>
        <v>0</v>
      </c>
      <c r="Q384" s="159">
        <f t="shared" si="144"/>
        <v>2825947.6419475321</v>
      </c>
      <c r="R384" s="159">
        <f t="shared" si="144"/>
        <v>4521516.2271160511</v>
      </c>
      <c r="S384" s="159">
        <f t="shared" si="144"/>
        <v>2712909.736269631</v>
      </c>
      <c r="T384" s="159">
        <f t="shared" si="144"/>
        <v>1627745.8417617783</v>
      </c>
      <c r="U384" s="159">
        <f t="shared" si="144"/>
        <v>1627745.8417617783</v>
      </c>
      <c r="V384" s="159">
        <f t="shared" si="144"/>
        <v>813872.92088088917</v>
      </c>
      <c r="W384" s="159">
        <f t="shared" si="144"/>
        <v>0</v>
      </c>
      <c r="X384" s="159">
        <f t="shared" si="144"/>
        <v>0</v>
      </c>
      <c r="Y384" s="159">
        <f t="shared" si="144"/>
        <v>0</v>
      </c>
      <c r="Z384" s="159">
        <f t="shared" si="144"/>
        <v>0</v>
      </c>
      <c r="AA384" s="159">
        <f t="shared" si="144"/>
        <v>0</v>
      </c>
      <c r="AB384" s="159">
        <f t="shared" si="144"/>
        <v>0</v>
      </c>
      <c r="AC384" s="159">
        <f t="shared" si="144"/>
        <v>0</v>
      </c>
      <c r="AD384" s="159">
        <f t="shared" si="144"/>
        <v>0</v>
      </c>
      <c r="AE384" s="159">
        <f t="shared" si="144"/>
        <v>0</v>
      </c>
      <c r="AF384" s="159">
        <f t="shared" si="144"/>
        <v>0</v>
      </c>
      <c r="AG384" s="159">
        <f t="shared" si="144"/>
        <v>0</v>
      </c>
      <c r="AH384" s="159">
        <f t="shared" si="144"/>
        <v>0</v>
      </c>
      <c r="AI384" s="159">
        <f t="shared" si="144"/>
        <v>0</v>
      </c>
      <c r="AJ384" s="159">
        <f t="shared" si="144"/>
        <v>0</v>
      </c>
      <c r="AK384" s="159">
        <f t="shared" si="144"/>
        <v>0</v>
      </c>
      <c r="AL384" s="159">
        <f t="shared" si="144"/>
        <v>0</v>
      </c>
      <c r="AM384" s="159">
        <f t="shared" si="144"/>
        <v>0</v>
      </c>
      <c r="AN384" s="159">
        <f t="shared" si="144"/>
        <v>0</v>
      </c>
      <c r="AO384" s="159">
        <f t="shared" si="144"/>
        <v>0</v>
      </c>
      <c r="AP384" s="159">
        <f t="shared" si="144"/>
        <v>0</v>
      </c>
    </row>
    <row r="385" spans="1:42" x14ac:dyDescent="0.2">
      <c r="A385" s="4">
        <f>A384+1</f>
        <v>2</v>
      </c>
      <c r="B385" s="176">
        <f t="shared" ref="B385:B393" si="145">SUM(C385:AP385)</f>
        <v>0</v>
      </c>
      <c r="C385" s="159">
        <f t="shared" ref="C385:AP385" si="146">LOOKUP(C374,$B$368:$AP$368,$B$369:$AP$369)/100*$B681</f>
        <v>0</v>
      </c>
      <c r="D385" s="159">
        <f t="shared" si="146"/>
        <v>0</v>
      </c>
      <c r="E385" s="159">
        <f t="shared" si="146"/>
        <v>0</v>
      </c>
      <c r="F385" s="159">
        <f t="shared" si="146"/>
        <v>0</v>
      </c>
      <c r="G385" s="159">
        <f t="shared" si="146"/>
        <v>0</v>
      </c>
      <c r="H385" s="159">
        <f t="shared" si="146"/>
        <v>0</v>
      </c>
      <c r="I385" s="159">
        <f t="shared" si="146"/>
        <v>0</v>
      </c>
      <c r="J385" s="159">
        <f t="shared" si="146"/>
        <v>0</v>
      </c>
      <c r="K385" s="159">
        <f t="shared" si="146"/>
        <v>0</v>
      </c>
      <c r="L385" s="159">
        <f t="shared" si="146"/>
        <v>0</v>
      </c>
      <c r="M385" s="159">
        <f t="shared" si="146"/>
        <v>0</v>
      </c>
      <c r="N385" s="159">
        <f t="shared" si="146"/>
        <v>0</v>
      </c>
      <c r="O385" s="159">
        <f t="shared" si="146"/>
        <v>0</v>
      </c>
      <c r="P385" s="159">
        <f t="shared" si="146"/>
        <v>0</v>
      </c>
      <c r="Q385" s="159">
        <f t="shared" si="146"/>
        <v>0</v>
      </c>
      <c r="R385" s="159">
        <f t="shared" si="146"/>
        <v>0</v>
      </c>
      <c r="S385" s="159">
        <f t="shared" si="146"/>
        <v>0</v>
      </c>
      <c r="T385" s="159">
        <f t="shared" si="146"/>
        <v>0</v>
      </c>
      <c r="U385" s="159">
        <f t="shared" si="146"/>
        <v>0</v>
      </c>
      <c r="V385" s="159">
        <f t="shared" si="146"/>
        <v>0</v>
      </c>
      <c r="W385" s="159">
        <f t="shared" si="146"/>
        <v>0</v>
      </c>
      <c r="X385" s="159">
        <f t="shared" si="146"/>
        <v>0</v>
      </c>
      <c r="Y385" s="159">
        <f t="shared" si="146"/>
        <v>0</v>
      </c>
      <c r="Z385" s="159">
        <f t="shared" si="146"/>
        <v>0</v>
      </c>
      <c r="AA385" s="159">
        <f t="shared" si="146"/>
        <v>0</v>
      </c>
      <c r="AB385" s="159">
        <f t="shared" si="146"/>
        <v>0</v>
      </c>
      <c r="AC385" s="159">
        <f t="shared" si="146"/>
        <v>0</v>
      </c>
      <c r="AD385" s="159">
        <f t="shared" si="146"/>
        <v>0</v>
      </c>
      <c r="AE385" s="159">
        <f t="shared" si="146"/>
        <v>0</v>
      </c>
      <c r="AF385" s="159">
        <f t="shared" si="146"/>
        <v>0</v>
      </c>
      <c r="AG385" s="159">
        <f t="shared" si="146"/>
        <v>0</v>
      </c>
      <c r="AH385" s="159">
        <f t="shared" si="146"/>
        <v>0</v>
      </c>
      <c r="AI385" s="159">
        <f t="shared" si="146"/>
        <v>0</v>
      </c>
      <c r="AJ385" s="159">
        <f t="shared" si="146"/>
        <v>0</v>
      </c>
      <c r="AK385" s="159">
        <f t="shared" si="146"/>
        <v>0</v>
      </c>
      <c r="AL385" s="159">
        <f t="shared" si="146"/>
        <v>0</v>
      </c>
      <c r="AM385" s="159">
        <f t="shared" si="146"/>
        <v>0</v>
      </c>
      <c r="AN385" s="159">
        <f t="shared" si="146"/>
        <v>0</v>
      </c>
      <c r="AO385" s="159">
        <f t="shared" si="146"/>
        <v>0</v>
      </c>
      <c r="AP385" s="159">
        <f t="shared" si="146"/>
        <v>0</v>
      </c>
    </row>
    <row r="386" spans="1:42" x14ac:dyDescent="0.2">
      <c r="A386" s="4">
        <f t="shared" ref="A386:A393" si="147">A385+1</f>
        <v>3</v>
      </c>
      <c r="B386" s="176">
        <f t="shared" si="145"/>
        <v>0</v>
      </c>
      <c r="C386" s="159">
        <f t="shared" ref="C386:AP386" si="148">LOOKUP(C375,$B$368:$AP$368,$B$369:$AP$369)/100*$B682</f>
        <v>0</v>
      </c>
      <c r="D386" s="159">
        <f t="shared" si="148"/>
        <v>0</v>
      </c>
      <c r="E386" s="159">
        <f t="shared" si="148"/>
        <v>0</v>
      </c>
      <c r="F386" s="159">
        <f t="shared" si="148"/>
        <v>0</v>
      </c>
      <c r="G386" s="159">
        <f t="shared" si="148"/>
        <v>0</v>
      </c>
      <c r="H386" s="159">
        <f t="shared" si="148"/>
        <v>0</v>
      </c>
      <c r="I386" s="159">
        <f t="shared" si="148"/>
        <v>0</v>
      </c>
      <c r="J386" s="159">
        <f t="shared" si="148"/>
        <v>0</v>
      </c>
      <c r="K386" s="159">
        <f t="shared" si="148"/>
        <v>0</v>
      </c>
      <c r="L386" s="159">
        <f t="shared" si="148"/>
        <v>0</v>
      </c>
      <c r="M386" s="159">
        <f t="shared" si="148"/>
        <v>0</v>
      </c>
      <c r="N386" s="159">
        <f t="shared" si="148"/>
        <v>0</v>
      </c>
      <c r="O386" s="159">
        <f t="shared" si="148"/>
        <v>0</v>
      </c>
      <c r="P386" s="159">
        <f t="shared" si="148"/>
        <v>0</v>
      </c>
      <c r="Q386" s="159">
        <f t="shared" si="148"/>
        <v>0</v>
      </c>
      <c r="R386" s="159">
        <f t="shared" si="148"/>
        <v>0</v>
      </c>
      <c r="S386" s="159">
        <f t="shared" si="148"/>
        <v>0</v>
      </c>
      <c r="T386" s="159">
        <f t="shared" si="148"/>
        <v>0</v>
      </c>
      <c r="U386" s="159">
        <f t="shared" si="148"/>
        <v>0</v>
      </c>
      <c r="V386" s="159">
        <f t="shared" si="148"/>
        <v>0</v>
      </c>
      <c r="W386" s="159">
        <f t="shared" si="148"/>
        <v>0</v>
      </c>
      <c r="X386" s="159">
        <f t="shared" si="148"/>
        <v>0</v>
      </c>
      <c r="Y386" s="159">
        <f t="shared" si="148"/>
        <v>0</v>
      </c>
      <c r="Z386" s="159">
        <f t="shared" si="148"/>
        <v>0</v>
      </c>
      <c r="AA386" s="159">
        <f t="shared" si="148"/>
        <v>0</v>
      </c>
      <c r="AB386" s="159">
        <f t="shared" si="148"/>
        <v>0</v>
      </c>
      <c r="AC386" s="159">
        <f t="shared" si="148"/>
        <v>0</v>
      </c>
      <c r="AD386" s="159">
        <f t="shared" si="148"/>
        <v>0</v>
      </c>
      <c r="AE386" s="159">
        <f t="shared" si="148"/>
        <v>0</v>
      </c>
      <c r="AF386" s="159">
        <f t="shared" si="148"/>
        <v>0</v>
      </c>
      <c r="AG386" s="159">
        <f t="shared" si="148"/>
        <v>0</v>
      </c>
      <c r="AH386" s="159">
        <f t="shared" si="148"/>
        <v>0</v>
      </c>
      <c r="AI386" s="159">
        <f t="shared" si="148"/>
        <v>0</v>
      </c>
      <c r="AJ386" s="159">
        <f t="shared" si="148"/>
        <v>0</v>
      </c>
      <c r="AK386" s="159">
        <f t="shared" si="148"/>
        <v>0</v>
      </c>
      <c r="AL386" s="159">
        <f t="shared" si="148"/>
        <v>0</v>
      </c>
      <c r="AM386" s="159">
        <f t="shared" si="148"/>
        <v>0</v>
      </c>
      <c r="AN386" s="159">
        <f t="shared" si="148"/>
        <v>0</v>
      </c>
      <c r="AO386" s="159">
        <f t="shared" si="148"/>
        <v>0</v>
      </c>
      <c r="AP386" s="159">
        <f t="shared" si="148"/>
        <v>0</v>
      </c>
    </row>
    <row r="387" spans="1:42" x14ac:dyDescent="0.2">
      <c r="A387" s="4">
        <f t="shared" si="147"/>
        <v>4</v>
      </c>
      <c r="B387" s="176">
        <f t="shared" si="145"/>
        <v>0</v>
      </c>
      <c r="C387" s="159">
        <f t="shared" ref="C387:AP387" si="149">LOOKUP(C376,$B$368:$AP$368,$B$369:$AP$369)/100*$B683</f>
        <v>0</v>
      </c>
      <c r="D387" s="159">
        <f t="shared" si="149"/>
        <v>0</v>
      </c>
      <c r="E387" s="159">
        <f t="shared" si="149"/>
        <v>0</v>
      </c>
      <c r="F387" s="159">
        <f t="shared" si="149"/>
        <v>0</v>
      </c>
      <c r="G387" s="159">
        <f t="shared" si="149"/>
        <v>0</v>
      </c>
      <c r="H387" s="159">
        <f t="shared" si="149"/>
        <v>0</v>
      </c>
      <c r="I387" s="159">
        <f t="shared" si="149"/>
        <v>0</v>
      </c>
      <c r="J387" s="159">
        <f t="shared" si="149"/>
        <v>0</v>
      </c>
      <c r="K387" s="159">
        <f t="shared" si="149"/>
        <v>0</v>
      </c>
      <c r="L387" s="159">
        <f t="shared" si="149"/>
        <v>0</v>
      </c>
      <c r="M387" s="159">
        <f t="shared" si="149"/>
        <v>0</v>
      </c>
      <c r="N387" s="159">
        <f t="shared" si="149"/>
        <v>0</v>
      </c>
      <c r="O387" s="159">
        <f t="shared" si="149"/>
        <v>0</v>
      </c>
      <c r="P387" s="159">
        <f t="shared" si="149"/>
        <v>0</v>
      </c>
      <c r="Q387" s="159">
        <f t="shared" si="149"/>
        <v>0</v>
      </c>
      <c r="R387" s="159">
        <f t="shared" si="149"/>
        <v>0</v>
      </c>
      <c r="S387" s="159">
        <f t="shared" si="149"/>
        <v>0</v>
      </c>
      <c r="T387" s="159">
        <f t="shared" si="149"/>
        <v>0</v>
      </c>
      <c r="U387" s="159">
        <f t="shared" si="149"/>
        <v>0</v>
      </c>
      <c r="V387" s="159">
        <f t="shared" si="149"/>
        <v>0</v>
      </c>
      <c r="W387" s="159">
        <f t="shared" si="149"/>
        <v>0</v>
      </c>
      <c r="X387" s="159">
        <f t="shared" si="149"/>
        <v>0</v>
      </c>
      <c r="Y387" s="159">
        <f t="shared" si="149"/>
        <v>0</v>
      </c>
      <c r="Z387" s="159">
        <f t="shared" si="149"/>
        <v>0</v>
      </c>
      <c r="AA387" s="159">
        <f t="shared" si="149"/>
        <v>0</v>
      </c>
      <c r="AB387" s="159">
        <f t="shared" si="149"/>
        <v>0</v>
      </c>
      <c r="AC387" s="159">
        <f t="shared" si="149"/>
        <v>0</v>
      </c>
      <c r="AD387" s="159">
        <f t="shared" si="149"/>
        <v>0</v>
      </c>
      <c r="AE387" s="159">
        <f t="shared" si="149"/>
        <v>0</v>
      </c>
      <c r="AF387" s="159">
        <f t="shared" si="149"/>
        <v>0</v>
      </c>
      <c r="AG387" s="159">
        <f t="shared" si="149"/>
        <v>0</v>
      </c>
      <c r="AH387" s="159">
        <f t="shared" si="149"/>
        <v>0</v>
      </c>
      <c r="AI387" s="159">
        <f t="shared" si="149"/>
        <v>0</v>
      </c>
      <c r="AJ387" s="159">
        <f t="shared" si="149"/>
        <v>0</v>
      </c>
      <c r="AK387" s="159">
        <f t="shared" si="149"/>
        <v>0</v>
      </c>
      <c r="AL387" s="159">
        <f t="shared" si="149"/>
        <v>0</v>
      </c>
      <c r="AM387" s="159">
        <f t="shared" si="149"/>
        <v>0</v>
      </c>
      <c r="AN387" s="159">
        <f t="shared" si="149"/>
        <v>0</v>
      </c>
      <c r="AO387" s="159">
        <f t="shared" si="149"/>
        <v>0</v>
      </c>
      <c r="AP387" s="159">
        <f t="shared" si="149"/>
        <v>0</v>
      </c>
    </row>
    <row r="388" spans="1:42" x14ac:dyDescent="0.2">
      <c r="A388" s="4">
        <f t="shared" si="147"/>
        <v>5</v>
      </c>
      <c r="B388" s="176">
        <f t="shared" si="145"/>
        <v>0</v>
      </c>
      <c r="C388" s="159">
        <f t="shared" ref="C388:AP388" si="150">LOOKUP(C377,$B$368:$AP$368,$B$369:$AP$369)/100*$B684</f>
        <v>0</v>
      </c>
      <c r="D388" s="159">
        <f t="shared" si="150"/>
        <v>0</v>
      </c>
      <c r="E388" s="159">
        <f t="shared" si="150"/>
        <v>0</v>
      </c>
      <c r="F388" s="159">
        <f t="shared" si="150"/>
        <v>0</v>
      </c>
      <c r="G388" s="159">
        <f t="shared" si="150"/>
        <v>0</v>
      </c>
      <c r="H388" s="159">
        <f t="shared" si="150"/>
        <v>0</v>
      </c>
      <c r="I388" s="159">
        <f t="shared" si="150"/>
        <v>0</v>
      </c>
      <c r="J388" s="159">
        <f t="shared" si="150"/>
        <v>0</v>
      </c>
      <c r="K388" s="159">
        <f t="shared" si="150"/>
        <v>0</v>
      </c>
      <c r="L388" s="159">
        <f t="shared" si="150"/>
        <v>0</v>
      </c>
      <c r="M388" s="159">
        <f t="shared" si="150"/>
        <v>0</v>
      </c>
      <c r="N388" s="159">
        <f t="shared" si="150"/>
        <v>0</v>
      </c>
      <c r="O388" s="159">
        <f t="shared" si="150"/>
        <v>0</v>
      </c>
      <c r="P388" s="159">
        <f t="shared" si="150"/>
        <v>0</v>
      </c>
      <c r="Q388" s="159">
        <f t="shared" si="150"/>
        <v>0</v>
      </c>
      <c r="R388" s="159">
        <f t="shared" si="150"/>
        <v>0</v>
      </c>
      <c r="S388" s="159">
        <f t="shared" si="150"/>
        <v>0</v>
      </c>
      <c r="T388" s="159">
        <f t="shared" si="150"/>
        <v>0</v>
      </c>
      <c r="U388" s="159">
        <f t="shared" si="150"/>
        <v>0</v>
      </c>
      <c r="V388" s="159">
        <f t="shared" si="150"/>
        <v>0</v>
      </c>
      <c r="W388" s="159">
        <f t="shared" si="150"/>
        <v>0</v>
      </c>
      <c r="X388" s="159">
        <f t="shared" si="150"/>
        <v>0</v>
      </c>
      <c r="Y388" s="159">
        <f t="shared" si="150"/>
        <v>0</v>
      </c>
      <c r="Z388" s="159">
        <f t="shared" si="150"/>
        <v>0</v>
      </c>
      <c r="AA388" s="159">
        <f t="shared" si="150"/>
        <v>0</v>
      </c>
      <c r="AB388" s="159">
        <f t="shared" si="150"/>
        <v>0</v>
      </c>
      <c r="AC388" s="159">
        <f t="shared" si="150"/>
        <v>0</v>
      </c>
      <c r="AD388" s="159">
        <f t="shared" si="150"/>
        <v>0</v>
      </c>
      <c r="AE388" s="159">
        <f t="shared" si="150"/>
        <v>0</v>
      </c>
      <c r="AF388" s="159">
        <f t="shared" si="150"/>
        <v>0</v>
      </c>
      <c r="AG388" s="159">
        <f t="shared" si="150"/>
        <v>0</v>
      </c>
      <c r="AH388" s="159">
        <f t="shared" si="150"/>
        <v>0</v>
      </c>
      <c r="AI388" s="159">
        <f t="shared" si="150"/>
        <v>0</v>
      </c>
      <c r="AJ388" s="159">
        <f t="shared" si="150"/>
        <v>0</v>
      </c>
      <c r="AK388" s="159">
        <f t="shared" si="150"/>
        <v>0</v>
      </c>
      <c r="AL388" s="159">
        <f t="shared" si="150"/>
        <v>0</v>
      </c>
      <c r="AM388" s="159">
        <f t="shared" si="150"/>
        <v>0</v>
      </c>
      <c r="AN388" s="159">
        <f t="shared" si="150"/>
        <v>0</v>
      </c>
      <c r="AO388" s="159">
        <f t="shared" si="150"/>
        <v>0</v>
      </c>
      <c r="AP388" s="159">
        <f t="shared" si="150"/>
        <v>0</v>
      </c>
    </row>
    <row r="389" spans="1:42" x14ac:dyDescent="0.2">
      <c r="A389" s="4">
        <f t="shared" si="147"/>
        <v>6</v>
      </c>
      <c r="B389" s="176">
        <f t="shared" si="145"/>
        <v>0</v>
      </c>
      <c r="C389" s="159">
        <f t="shared" ref="C389:AP389" si="151">LOOKUP(C378,$B$368:$AP$368,$B$369:$AP$369)/100*$B685</f>
        <v>0</v>
      </c>
      <c r="D389" s="159">
        <f t="shared" si="151"/>
        <v>0</v>
      </c>
      <c r="E389" s="159">
        <f t="shared" si="151"/>
        <v>0</v>
      </c>
      <c r="F389" s="159">
        <f t="shared" si="151"/>
        <v>0</v>
      </c>
      <c r="G389" s="159">
        <f t="shared" si="151"/>
        <v>0</v>
      </c>
      <c r="H389" s="159">
        <f t="shared" si="151"/>
        <v>0</v>
      </c>
      <c r="I389" s="159">
        <f t="shared" si="151"/>
        <v>0</v>
      </c>
      <c r="J389" s="159">
        <f t="shared" si="151"/>
        <v>0</v>
      </c>
      <c r="K389" s="159">
        <f t="shared" si="151"/>
        <v>0</v>
      </c>
      <c r="L389" s="159">
        <f t="shared" si="151"/>
        <v>0</v>
      </c>
      <c r="M389" s="159">
        <f t="shared" si="151"/>
        <v>0</v>
      </c>
      <c r="N389" s="159">
        <f t="shared" si="151"/>
        <v>0</v>
      </c>
      <c r="O389" s="159">
        <f t="shared" si="151"/>
        <v>0</v>
      </c>
      <c r="P389" s="159">
        <f t="shared" si="151"/>
        <v>0</v>
      </c>
      <c r="Q389" s="159">
        <f t="shared" si="151"/>
        <v>0</v>
      </c>
      <c r="R389" s="159">
        <f t="shared" si="151"/>
        <v>0</v>
      </c>
      <c r="S389" s="159">
        <f t="shared" si="151"/>
        <v>0</v>
      </c>
      <c r="T389" s="159">
        <f t="shared" si="151"/>
        <v>0</v>
      </c>
      <c r="U389" s="159">
        <f t="shared" si="151"/>
        <v>0</v>
      </c>
      <c r="V389" s="159">
        <f t="shared" si="151"/>
        <v>0</v>
      </c>
      <c r="W389" s="159">
        <f t="shared" si="151"/>
        <v>0</v>
      </c>
      <c r="X389" s="159">
        <f t="shared" si="151"/>
        <v>0</v>
      </c>
      <c r="Y389" s="159">
        <f t="shared" si="151"/>
        <v>0</v>
      </c>
      <c r="Z389" s="159">
        <f t="shared" si="151"/>
        <v>0</v>
      </c>
      <c r="AA389" s="159">
        <f t="shared" si="151"/>
        <v>0</v>
      </c>
      <c r="AB389" s="159">
        <f t="shared" si="151"/>
        <v>0</v>
      </c>
      <c r="AC389" s="159">
        <f t="shared" si="151"/>
        <v>0</v>
      </c>
      <c r="AD389" s="159">
        <f t="shared" si="151"/>
        <v>0</v>
      </c>
      <c r="AE389" s="159">
        <f t="shared" si="151"/>
        <v>0</v>
      </c>
      <c r="AF389" s="159">
        <f t="shared" si="151"/>
        <v>0</v>
      </c>
      <c r="AG389" s="159">
        <f t="shared" si="151"/>
        <v>0</v>
      </c>
      <c r="AH389" s="159">
        <f t="shared" si="151"/>
        <v>0</v>
      </c>
      <c r="AI389" s="159">
        <f t="shared" si="151"/>
        <v>0</v>
      </c>
      <c r="AJ389" s="159">
        <f t="shared" si="151"/>
        <v>0</v>
      </c>
      <c r="AK389" s="159">
        <f t="shared" si="151"/>
        <v>0</v>
      </c>
      <c r="AL389" s="159">
        <f t="shared" si="151"/>
        <v>0</v>
      </c>
      <c r="AM389" s="159">
        <f t="shared" si="151"/>
        <v>0</v>
      </c>
      <c r="AN389" s="159">
        <f t="shared" si="151"/>
        <v>0</v>
      </c>
      <c r="AO389" s="159">
        <f t="shared" si="151"/>
        <v>0</v>
      </c>
      <c r="AP389" s="159">
        <f t="shared" si="151"/>
        <v>0</v>
      </c>
    </row>
    <row r="390" spans="1:42" x14ac:dyDescent="0.2">
      <c r="A390" s="4">
        <f t="shared" si="147"/>
        <v>7</v>
      </c>
      <c r="B390" s="176">
        <f t="shared" si="145"/>
        <v>0</v>
      </c>
      <c r="C390" s="159">
        <f t="shared" ref="C390:AP390" si="152">LOOKUP(C379,$B$368:$AP$368,$B$369:$AP$369)/100*$B686</f>
        <v>0</v>
      </c>
      <c r="D390" s="159">
        <f t="shared" si="152"/>
        <v>0</v>
      </c>
      <c r="E390" s="159">
        <f t="shared" si="152"/>
        <v>0</v>
      </c>
      <c r="F390" s="159">
        <f t="shared" si="152"/>
        <v>0</v>
      </c>
      <c r="G390" s="159">
        <f t="shared" si="152"/>
        <v>0</v>
      </c>
      <c r="H390" s="159">
        <f t="shared" si="152"/>
        <v>0</v>
      </c>
      <c r="I390" s="159">
        <f t="shared" si="152"/>
        <v>0</v>
      </c>
      <c r="J390" s="159">
        <f t="shared" si="152"/>
        <v>0</v>
      </c>
      <c r="K390" s="159">
        <f t="shared" si="152"/>
        <v>0</v>
      </c>
      <c r="L390" s="159">
        <f t="shared" si="152"/>
        <v>0</v>
      </c>
      <c r="M390" s="159">
        <f t="shared" si="152"/>
        <v>0</v>
      </c>
      <c r="N390" s="159">
        <f t="shared" si="152"/>
        <v>0</v>
      </c>
      <c r="O390" s="159">
        <f t="shared" si="152"/>
        <v>0</v>
      </c>
      <c r="P390" s="159">
        <f t="shared" si="152"/>
        <v>0</v>
      </c>
      <c r="Q390" s="159">
        <f t="shared" si="152"/>
        <v>0</v>
      </c>
      <c r="R390" s="159">
        <f t="shared" si="152"/>
        <v>0</v>
      </c>
      <c r="S390" s="159">
        <f t="shared" si="152"/>
        <v>0</v>
      </c>
      <c r="T390" s="159">
        <f t="shared" si="152"/>
        <v>0</v>
      </c>
      <c r="U390" s="159">
        <f t="shared" si="152"/>
        <v>0</v>
      </c>
      <c r="V390" s="159">
        <f t="shared" si="152"/>
        <v>0</v>
      </c>
      <c r="W390" s="159">
        <f t="shared" si="152"/>
        <v>0</v>
      </c>
      <c r="X390" s="159">
        <f t="shared" si="152"/>
        <v>0</v>
      </c>
      <c r="Y390" s="159">
        <f t="shared" si="152"/>
        <v>0</v>
      </c>
      <c r="Z390" s="159">
        <f t="shared" si="152"/>
        <v>0</v>
      </c>
      <c r="AA390" s="159">
        <f t="shared" si="152"/>
        <v>0</v>
      </c>
      <c r="AB390" s="159">
        <f t="shared" si="152"/>
        <v>0</v>
      </c>
      <c r="AC390" s="159">
        <f t="shared" si="152"/>
        <v>0</v>
      </c>
      <c r="AD390" s="159">
        <f t="shared" si="152"/>
        <v>0</v>
      </c>
      <c r="AE390" s="159">
        <f t="shared" si="152"/>
        <v>0</v>
      </c>
      <c r="AF390" s="159">
        <f t="shared" si="152"/>
        <v>0</v>
      </c>
      <c r="AG390" s="159">
        <f t="shared" si="152"/>
        <v>0</v>
      </c>
      <c r="AH390" s="159">
        <f t="shared" si="152"/>
        <v>0</v>
      </c>
      <c r="AI390" s="159">
        <f t="shared" si="152"/>
        <v>0</v>
      </c>
      <c r="AJ390" s="159">
        <f t="shared" si="152"/>
        <v>0</v>
      </c>
      <c r="AK390" s="159">
        <f t="shared" si="152"/>
        <v>0</v>
      </c>
      <c r="AL390" s="159">
        <f t="shared" si="152"/>
        <v>0</v>
      </c>
      <c r="AM390" s="159">
        <f t="shared" si="152"/>
        <v>0</v>
      </c>
      <c r="AN390" s="159">
        <f t="shared" si="152"/>
        <v>0</v>
      </c>
      <c r="AO390" s="159">
        <f t="shared" si="152"/>
        <v>0</v>
      </c>
      <c r="AP390" s="159">
        <f t="shared" si="152"/>
        <v>0</v>
      </c>
    </row>
    <row r="391" spans="1:42" x14ac:dyDescent="0.2">
      <c r="A391" s="4">
        <f t="shared" si="147"/>
        <v>8</v>
      </c>
      <c r="B391" s="176">
        <f t="shared" si="145"/>
        <v>0</v>
      </c>
      <c r="C391" s="159">
        <f t="shared" ref="C391:AP391" si="153">LOOKUP(C380,$B$368:$AP$368,$B$369:$AP$369)/100*$B687</f>
        <v>0</v>
      </c>
      <c r="D391" s="159">
        <f t="shared" si="153"/>
        <v>0</v>
      </c>
      <c r="E391" s="159">
        <f t="shared" si="153"/>
        <v>0</v>
      </c>
      <c r="F391" s="159">
        <f t="shared" si="153"/>
        <v>0</v>
      </c>
      <c r="G391" s="159">
        <f t="shared" si="153"/>
        <v>0</v>
      </c>
      <c r="H391" s="159">
        <f t="shared" si="153"/>
        <v>0</v>
      </c>
      <c r="I391" s="159">
        <f t="shared" si="153"/>
        <v>0</v>
      </c>
      <c r="J391" s="159">
        <f t="shared" si="153"/>
        <v>0</v>
      </c>
      <c r="K391" s="159">
        <f t="shared" si="153"/>
        <v>0</v>
      </c>
      <c r="L391" s="159">
        <f t="shared" si="153"/>
        <v>0</v>
      </c>
      <c r="M391" s="159">
        <f t="shared" si="153"/>
        <v>0</v>
      </c>
      <c r="N391" s="159">
        <f t="shared" si="153"/>
        <v>0</v>
      </c>
      <c r="O391" s="159">
        <f t="shared" si="153"/>
        <v>0</v>
      </c>
      <c r="P391" s="159">
        <f t="shared" si="153"/>
        <v>0</v>
      </c>
      <c r="Q391" s="159">
        <f t="shared" si="153"/>
        <v>0</v>
      </c>
      <c r="R391" s="159">
        <f t="shared" si="153"/>
        <v>0</v>
      </c>
      <c r="S391" s="159">
        <f t="shared" si="153"/>
        <v>0</v>
      </c>
      <c r="T391" s="159">
        <f t="shared" si="153"/>
        <v>0</v>
      </c>
      <c r="U391" s="159">
        <f t="shared" si="153"/>
        <v>0</v>
      </c>
      <c r="V391" s="159">
        <f t="shared" si="153"/>
        <v>0</v>
      </c>
      <c r="W391" s="159">
        <f t="shared" si="153"/>
        <v>0</v>
      </c>
      <c r="X391" s="159">
        <f t="shared" si="153"/>
        <v>0</v>
      </c>
      <c r="Y391" s="159">
        <f t="shared" si="153"/>
        <v>0</v>
      </c>
      <c r="Z391" s="159">
        <f t="shared" si="153"/>
        <v>0</v>
      </c>
      <c r="AA391" s="159">
        <f t="shared" si="153"/>
        <v>0</v>
      </c>
      <c r="AB391" s="159">
        <f t="shared" si="153"/>
        <v>0</v>
      </c>
      <c r="AC391" s="159">
        <f t="shared" si="153"/>
        <v>0</v>
      </c>
      <c r="AD391" s="159">
        <f t="shared" si="153"/>
        <v>0</v>
      </c>
      <c r="AE391" s="159">
        <f t="shared" si="153"/>
        <v>0</v>
      </c>
      <c r="AF391" s="159">
        <f t="shared" si="153"/>
        <v>0</v>
      </c>
      <c r="AG391" s="159">
        <f t="shared" si="153"/>
        <v>0</v>
      </c>
      <c r="AH391" s="159">
        <f t="shared" si="153"/>
        <v>0</v>
      </c>
      <c r="AI391" s="159">
        <f t="shared" si="153"/>
        <v>0</v>
      </c>
      <c r="AJ391" s="159">
        <f t="shared" si="153"/>
        <v>0</v>
      </c>
      <c r="AK391" s="159">
        <f t="shared" si="153"/>
        <v>0</v>
      </c>
      <c r="AL391" s="159">
        <f t="shared" si="153"/>
        <v>0</v>
      </c>
      <c r="AM391" s="159">
        <f t="shared" si="153"/>
        <v>0</v>
      </c>
      <c r="AN391" s="159">
        <f t="shared" si="153"/>
        <v>0</v>
      </c>
      <c r="AO391" s="159">
        <f t="shared" si="153"/>
        <v>0</v>
      </c>
      <c r="AP391" s="159">
        <f t="shared" si="153"/>
        <v>0</v>
      </c>
    </row>
    <row r="392" spans="1:42" x14ac:dyDescent="0.2">
      <c r="A392" s="4">
        <f>A391+1</f>
        <v>9</v>
      </c>
      <c r="B392" s="176">
        <f t="shared" si="145"/>
        <v>0</v>
      </c>
      <c r="C392" s="159">
        <f t="shared" ref="C392:AP392" si="154">LOOKUP(C381,$B$368:$AP$368,$B$369:$AP$369)/100*$B688</f>
        <v>0</v>
      </c>
      <c r="D392" s="159">
        <f t="shared" si="154"/>
        <v>0</v>
      </c>
      <c r="E392" s="159">
        <f t="shared" si="154"/>
        <v>0</v>
      </c>
      <c r="F392" s="159">
        <f t="shared" si="154"/>
        <v>0</v>
      </c>
      <c r="G392" s="159">
        <f t="shared" si="154"/>
        <v>0</v>
      </c>
      <c r="H392" s="159">
        <f t="shared" si="154"/>
        <v>0</v>
      </c>
      <c r="I392" s="159">
        <f t="shared" si="154"/>
        <v>0</v>
      </c>
      <c r="J392" s="159">
        <f t="shared" si="154"/>
        <v>0</v>
      </c>
      <c r="K392" s="159">
        <f t="shared" si="154"/>
        <v>0</v>
      </c>
      <c r="L392" s="159">
        <f t="shared" si="154"/>
        <v>0</v>
      </c>
      <c r="M392" s="159">
        <f t="shared" si="154"/>
        <v>0</v>
      </c>
      <c r="N392" s="159">
        <f t="shared" si="154"/>
        <v>0</v>
      </c>
      <c r="O392" s="159">
        <f t="shared" si="154"/>
        <v>0</v>
      </c>
      <c r="P392" s="159">
        <f t="shared" si="154"/>
        <v>0</v>
      </c>
      <c r="Q392" s="159">
        <f t="shared" si="154"/>
        <v>0</v>
      </c>
      <c r="R392" s="159">
        <f t="shared" si="154"/>
        <v>0</v>
      </c>
      <c r="S392" s="159">
        <f t="shared" si="154"/>
        <v>0</v>
      </c>
      <c r="T392" s="159">
        <f t="shared" si="154"/>
        <v>0</v>
      </c>
      <c r="U392" s="159">
        <f t="shared" si="154"/>
        <v>0</v>
      </c>
      <c r="V392" s="159">
        <f t="shared" si="154"/>
        <v>0</v>
      </c>
      <c r="W392" s="159">
        <f t="shared" si="154"/>
        <v>0</v>
      </c>
      <c r="X392" s="159">
        <f t="shared" si="154"/>
        <v>0</v>
      </c>
      <c r="Y392" s="159">
        <f t="shared" si="154"/>
        <v>0</v>
      </c>
      <c r="Z392" s="159">
        <f t="shared" si="154"/>
        <v>0</v>
      </c>
      <c r="AA392" s="159">
        <f t="shared" si="154"/>
        <v>0</v>
      </c>
      <c r="AB392" s="159">
        <f t="shared" si="154"/>
        <v>0</v>
      </c>
      <c r="AC392" s="159">
        <f t="shared" si="154"/>
        <v>0</v>
      </c>
      <c r="AD392" s="159">
        <f t="shared" si="154"/>
        <v>0</v>
      </c>
      <c r="AE392" s="159">
        <f t="shared" si="154"/>
        <v>0</v>
      </c>
      <c r="AF392" s="159">
        <f t="shared" si="154"/>
        <v>0</v>
      </c>
      <c r="AG392" s="159">
        <f t="shared" si="154"/>
        <v>0</v>
      </c>
      <c r="AH392" s="159">
        <f t="shared" si="154"/>
        <v>0</v>
      </c>
      <c r="AI392" s="159">
        <f t="shared" si="154"/>
        <v>0</v>
      </c>
      <c r="AJ392" s="159">
        <f t="shared" si="154"/>
        <v>0</v>
      </c>
      <c r="AK392" s="159">
        <f t="shared" si="154"/>
        <v>0</v>
      </c>
      <c r="AL392" s="159">
        <f t="shared" si="154"/>
        <v>0</v>
      </c>
      <c r="AM392" s="159">
        <f t="shared" si="154"/>
        <v>0</v>
      </c>
      <c r="AN392" s="159">
        <f t="shared" si="154"/>
        <v>0</v>
      </c>
      <c r="AO392" s="159">
        <f t="shared" si="154"/>
        <v>0</v>
      </c>
      <c r="AP392" s="159">
        <f t="shared" si="154"/>
        <v>0</v>
      </c>
    </row>
    <row r="393" spans="1:42" x14ac:dyDescent="0.2">
      <c r="A393" s="4">
        <f t="shared" si="147"/>
        <v>10</v>
      </c>
      <c r="B393" s="176">
        <f t="shared" si="145"/>
        <v>0</v>
      </c>
      <c r="C393" s="177">
        <f t="shared" ref="C393:AP393" si="155">LOOKUP(C382,$B$368:$AP$368,$B$369:$AP$369)/100*$B689</f>
        <v>0</v>
      </c>
      <c r="D393" s="160">
        <f t="shared" si="155"/>
        <v>0</v>
      </c>
      <c r="E393" s="160">
        <f t="shared" si="155"/>
        <v>0</v>
      </c>
      <c r="F393" s="160">
        <f t="shared" si="155"/>
        <v>0</v>
      </c>
      <c r="G393" s="160">
        <f t="shared" si="155"/>
        <v>0</v>
      </c>
      <c r="H393" s="160">
        <f t="shared" si="155"/>
        <v>0</v>
      </c>
      <c r="I393" s="160">
        <f t="shared" si="155"/>
        <v>0</v>
      </c>
      <c r="J393" s="160">
        <f t="shared" si="155"/>
        <v>0</v>
      </c>
      <c r="K393" s="160">
        <f t="shared" si="155"/>
        <v>0</v>
      </c>
      <c r="L393" s="160">
        <f t="shared" si="155"/>
        <v>0</v>
      </c>
      <c r="M393" s="160">
        <f t="shared" si="155"/>
        <v>0</v>
      </c>
      <c r="N393" s="160">
        <f t="shared" si="155"/>
        <v>0</v>
      </c>
      <c r="O393" s="160">
        <f t="shared" si="155"/>
        <v>0</v>
      </c>
      <c r="P393" s="160">
        <f t="shared" si="155"/>
        <v>0</v>
      </c>
      <c r="Q393" s="160">
        <f t="shared" si="155"/>
        <v>0</v>
      </c>
      <c r="R393" s="160">
        <f t="shared" si="155"/>
        <v>0</v>
      </c>
      <c r="S393" s="160">
        <f t="shared" si="155"/>
        <v>0</v>
      </c>
      <c r="T393" s="160">
        <f t="shared" si="155"/>
        <v>0</v>
      </c>
      <c r="U393" s="160">
        <f t="shared" si="155"/>
        <v>0</v>
      </c>
      <c r="V393" s="160">
        <f t="shared" si="155"/>
        <v>0</v>
      </c>
      <c r="W393" s="160">
        <f t="shared" si="155"/>
        <v>0</v>
      </c>
      <c r="X393" s="160">
        <f t="shared" si="155"/>
        <v>0</v>
      </c>
      <c r="Y393" s="160">
        <f t="shared" si="155"/>
        <v>0</v>
      </c>
      <c r="Z393" s="160">
        <f t="shared" si="155"/>
        <v>0</v>
      </c>
      <c r="AA393" s="160">
        <f t="shared" si="155"/>
        <v>0</v>
      </c>
      <c r="AB393" s="160">
        <f t="shared" si="155"/>
        <v>0</v>
      </c>
      <c r="AC393" s="160">
        <f t="shared" si="155"/>
        <v>0</v>
      </c>
      <c r="AD393" s="160">
        <f t="shared" si="155"/>
        <v>0</v>
      </c>
      <c r="AE393" s="160">
        <f t="shared" si="155"/>
        <v>0</v>
      </c>
      <c r="AF393" s="160">
        <f t="shared" si="155"/>
        <v>0</v>
      </c>
      <c r="AG393" s="160">
        <f t="shared" si="155"/>
        <v>0</v>
      </c>
      <c r="AH393" s="160">
        <f t="shared" si="155"/>
        <v>0</v>
      </c>
      <c r="AI393" s="160">
        <f t="shared" si="155"/>
        <v>0</v>
      </c>
      <c r="AJ393" s="160">
        <f t="shared" si="155"/>
        <v>0</v>
      </c>
      <c r="AK393" s="160">
        <f t="shared" si="155"/>
        <v>0</v>
      </c>
      <c r="AL393" s="160">
        <f t="shared" si="155"/>
        <v>0</v>
      </c>
      <c r="AM393" s="160">
        <f t="shared" si="155"/>
        <v>0</v>
      </c>
      <c r="AN393" s="160">
        <f t="shared" si="155"/>
        <v>0</v>
      </c>
      <c r="AO393" s="160">
        <f t="shared" si="155"/>
        <v>0</v>
      </c>
      <c r="AP393" s="160">
        <f t="shared" si="155"/>
        <v>0</v>
      </c>
    </row>
    <row r="394" spans="1:42" ht="12" customHeight="1" x14ac:dyDescent="0.2">
      <c r="A394" s="27" t="s">
        <v>13</v>
      </c>
      <c r="B394" s="159"/>
      <c r="C394" s="159">
        <f>SUM(C384:C393)</f>
        <v>0</v>
      </c>
      <c r="D394" s="159">
        <f t="shared" ref="D394:AP394" si="156">SUM(D384:D393)</f>
        <v>0</v>
      </c>
      <c r="E394" s="159">
        <f t="shared" si="156"/>
        <v>0</v>
      </c>
      <c r="F394" s="159">
        <f t="shared" si="156"/>
        <v>0</v>
      </c>
      <c r="G394" s="159">
        <f t="shared" si="156"/>
        <v>0</v>
      </c>
      <c r="H394" s="159">
        <f t="shared" si="156"/>
        <v>0</v>
      </c>
      <c r="I394" s="159">
        <f t="shared" si="156"/>
        <v>0</v>
      </c>
      <c r="J394" s="159">
        <f t="shared" si="156"/>
        <v>0</v>
      </c>
      <c r="K394" s="159">
        <f t="shared" si="156"/>
        <v>0</v>
      </c>
      <c r="L394" s="159">
        <f t="shared" si="156"/>
        <v>0</v>
      </c>
      <c r="M394" s="159">
        <f t="shared" si="156"/>
        <v>0</v>
      </c>
      <c r="N394" s="159">
        <f t="shared" si="156"/>
        <v>0</v>
      </c>
      <c r="O394" s="159">
        <f t="shared" si="156"/>
        <v>0</v>
      </c>
      <c r="P394" s="159">
        <f t="shared" si="156"/>
        <v>0</v>
      </c>
      <c r="Q394" s="159">
        <f t="shared" si="156"/>
        <v>2825947.6419475321</v>
      </c>
      <c r="R394" s="159">
        <f t="shared" si="156"/>
        <v>4521516.2271160511</v>
      </c>
      <c r="S394" s="159">
        <f t="shared" si="156"/>
        <v>2712909.736269631</v>
      </c>
      <c r="T394" s="159">
        <f t="shared" si="156"/>
        <v>1627745.8417617783</v>
      </c>
      <c r="U394" s="159">
        <f t="shared" si="156"/>
        <v>1627745.8417617783</v>
      </c>
      <c r="V394" s="159">
        <f t="shared" si="156"/>
        <v>813872.92088088917</v>
      </c>
      <c r="W394" s="159">
        <f t="shared" si="156"/>
        <v>0</v>
      </c>
      <c r="X394" s="159">
        <f t="shared" si="156"/>
        <v>0</v>
      </c>
      <c r="Y394" s="159">
        <f t="shared" si="156"/>
        <v>0</v>
      </c>
      <c r="Z394" s="159">
        <f t="shared" si="156"/>
        <v>0</v>
      </c>
      <c r="AA394" s="159">
        <f t="shared" si="156"/>
        <v>0</v>
      </c>
      <c r="AB394" s="159">
        <f t="shared" si="156"/>
        <v>0</v>
      </c>
      <c r="AC394" s="159">
        <f t="shared" si="156"/>
        <v>0</v>
      </c>
      <c r="AD394" s="159">
        <f t="shared" si="156"/>
        <v>0</v>
      </c>
      <c r="AE394" s="159">
        <f t="shared" si="156"/>
        <v>0</v>
      </c>
      <c r="AF394" s="159">
        <f t="shared" si="156"/>
        <v>0</v>
      </c>
      <c r="AG394" s="159">
        <f t="shared" si="156"/>
        <v>0</v>
      </c>
      <c r="AH394" s="159">
        <f t="shared" si="156"/>
        <v>0</v>
      </c>
      <c r="AI394" s="159">
        <f t="shared" si="156"/>
        <v>0</v>
      </c>
      <c r="AJ394" s="159">
        <f t="shared" si="156"/>
        <v>0</v>
      </c>
      <c r="AK394" s="159">
        <f t="shared" si="156"/>
        <v>0</v>
      </c>
      <c r="AL394" s="159">
        <f t="shared" si="156"/>
        <v>0</v>
      </c>
      <c r="AM394" s="159">
        <f t="shared" si="156"/>
        <v>0</v>
      </c>
      <c r="AN394" s="159">
        <f t="shared" si="156"/>
        <v>0</v>
      </c>
      <c r="AO394" s="159">
        <f t="shared" si="156"/>
        <v>0</v>
      </c>
      <c r="AP394" s="159">
        <f t="shared" si="156"/>
        <v>0</v>
      </c>
    </row>
    <row r="395" spans="1:42" x14ac:dyDescent="0.2">
      <c r="A395" s="22"/>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row>
    <row r="396" spans="1:42" x14ac:dyDescent="0.2">
      <c r="A396" s="18" t="s">
        <v>76</v>
      </c>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row>
    <row r="397" spans="1:42" x14ac:dyDescent="0.2">
      <c r="A397" s="22" t="s">
        <v>62</v>
      </c>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row>
    <row r="398" spans="1:42" x14ac:dyDescent="0.2">
      <c r="A398" s="4">
        <v>1</v>
      </c>
      <c r="B398" s="4">
        <v>0</v>
      </c>
      <c r="C398" s="159">
        <f>IF(C$2&lt;=analysis_period,IF(SUM($C712:C712)&gt;0,B398+1,0),0)</f>
        <v>0</v>
      </c>
      <c r="D398" s="159">
        <f>IF(D$2&lt;=analysis_period,IF(SUM($C712:D712)&gt;0,C398+1,0),0)</f>
        <v>0</v>
      </c>
      <c r="E398" s="159">
        <f>IF(E$2&lt;=analysis_period,IF(SUM($C712:E712)&gt;0,D398+1,0),0)</f>
        <v>0</v>
      </c>
      <c r="F398" s="159">
        <f>IF(F$2&lt;=analysis_period,IF(SUM($C712:F712)&gt;0,E398+1,0),0)</f>
        <v>0</v>
      </c>
      <c r="G398" s="159">
        <f>IF(G$2&lt;=analysis_period,IF(SUM($C712:G712)&gt;0,F398+1,0),0)</f>
        <v>0</v>
      </c>
      <c r="H398" s="159">
        <f>IF(H$2&lt;=analysis_period,IF(SUM($C712:H712)&gt;0,G398+1,0),0)</f>
        <v>0</v>
      </c>
      <c r="I398" s="159">
        <f>IF(I$2&lt;=analysis_period,IF(SUM($C712:I712)&gt;0,H398+1,0),0)</f>
        <v>0</v>
      </c>
      <c r="J398" s="159">
        <f>IF(J$2&lt;=analysis_period,IF(SUM($C712:J712)&gt;0,I398+1,0),0)</f>
        <v>0</v>
      </c>
      <c r="K398" s="159">
        <f>IF(K$2&lt;=analysis_period,IF(SUM($C712:K712)&gt;0,J398+1,0),0)</f>
        <v>0</v>
      </c>
      <c r="L398" s="159">
        <f>IF(L$2&lt;=analysis_period,IF(SUM($C712:L712)&gt;0,K398+1,0),0)</f>
        <v>0</v>
      </c>
      <c r="M398" s="159">
        <f>IF(M$2&lt;=analysis_period,IF(SUM($C712:M712)&gt;0,L398+1,0),0)</f>
        <v>0</v>
      </c>
      <c r="N398" s="159">
        <f>IF(N$2&lt;=analysis_period,IF(SUM($C712:N712)&gt;0,M398+1,0),0)</f>
        <v>0</v>
      </c>
      <c r="O398" s="159">
        <f>IF(O$2&lt;=analysis_period,IF(SUM($C712:O712)&gt;0,N398+1,0),0)</f>
        <v>0</v>
      </c>
      <c r="P398" s="159">
        <f>IF(P$2&lt;=analysis_period,IF(SUM($C712:P712)&gt;0,O398+1,0),0)</f>
        <v>0</v>
      </c>
      <c r="Q398" s="159">
        <f>IF(Q$2&lt;=analysis_period,IF(SUM($C712:Q712)&gt;0,P398+1,0),0)</f>
        <v>0</v>
      </c>
      <c r="R398" s="159">
        <f>IF(R$2&lt;=analysis_period,IF(SUM($C712:R712)&gt;0,Q398+1,0),0)</f>
        <v>0</v>
      </c>
      <c r="S398" s="159">
        <f>IF(S$2&lt;=analysis_period,IF(SUM($C712:S712)&gt;0,R398+1,0),0)</f>
        <v>0</v>
      </c>
      <c r="T398" s="159">
        <f>IF(T$2&lt;=analysis_period,IF(SUM($C712:T712)&gt;0,S398+1,0),0)</f>
        <v>0</v>
      </c>
      <c r="U398" s="159">
        <f>IF(U$2&lt;=analysis_period,IF(SUM($C712:U712)&gt;0,T398+1,0),0)</f>
        <v>0</v>
      </c>
      <c r="V398" s="159">
        <f>IF(V$2&lt;=analysis_period,IF(SUM($C712:V712)&gt;0,U398+1,0),0)</f>
        <v>0</v>
      </c>
      <c r="W398" s="159">
        <f>IF(W$2&lt;=analysis_period,IF(SUM($C712:W712)&gt;0,V398+1,0),0)</f>
        <v>0</v>
      </c>
      <c r="X398" s="159">
        <f>IF(X$2&lt;=analysis_period,IF(SUM($C712:X712)&gt;0,W398+1,0),0)</f>
        <v>0</v>
      </c>
      <c r="Y398" s="159">
        <f>IF(Y$2&lt;=analysis_period,IF(SUM($C712:Y712)&gt;0,X398+1,0),0)</f>
        <v>0</v>
      </c>
      <c r="Z398" s="159">
        <f>IF(Z$2&lt;=analysis_period,IF(SUM($C712:Z712)&gt;0,Y398+1,0),0)</f>
        <v>0</v>
      </c>
      <c r="AA398" s="159">
        <f>IF(AA$2&lt;=analysis_period,IF(SUM($C712:AA712)&gt;0,Z398+1,0),0)</f>
        <v>0</v>
      </c>
      <c r="AB398" s="159">
        <f>IF(AB$2&lt;=analysis_period,IF(SUM($C712:AB712)&gt;0,AA398+1,0),0)</f>
        <v>0</v>
      </c>
      <c r="AC398" s="159">
        <f>IF(AC$2&lt;=analysis_period,IF(SUM($C712:AC712)&gt;0,AB398+1,0),0)</f>
        <v>0</v>
      </c>
      <c r="AD398" s="159">
        <f>IF(AD$2&lt;=analysis_period,IF(SUM($C712:AD712)&gt;0,AC398+1,0),0)</f>
        <v>0</v>
      </c>
      <c r="AE398" s="159">
        <f>IF(AE$2&lt;=analysis_period,IF(SUM($C712:AE712)&gt;0,AD398+1,0),0)</f>
        <v>0</v>
      </c>
      <c r="AF398" s="159">
        <f>IF(AF$2&lt;=analysis_period,IF(SUM($C712:AF712)&gt;0,AE398+1,0),0)</f>
        <v>0</v>
      </c>
      <c r="AG398" s="159">
        <f>IF(AG$2&lt;=analysis_period,IF(SUM($C712:AG712)&gt;0,AF398+1,0),0)</f>
        <v>0</v>
      </c>
      <c r="AH398" s="159">
        <f>IF(AH$2&lt;=analysis_period,IF(SUM($C712:AH712)&gt;0,AG398+1,0),0)</f>
        <v>0</v>
      </c>
      <c r="AI398" s="159">
        <f>IF(AI$2&lt;=analysis_period,IF(SUM($C712:AI712)&gt;0,AH398+1,0),0)</f>
        <v>0</v>
      </c>
      <c r="AJ398" s="159">
        <f>IF(AJ$2&lt;=analysis_period,IF(SUM($C712:AJ712)&gt;0,AI398+1,0),0)</f>
        <v>0</v>
      </c>
      <c r="AK398" s="159">
        <f>IF(AK$2&lt;=analysis_period,IF(SUM($C712:AK712)&gt;0,AJ398+1,0),0)</f>
        <v>0</v>
      </c>
      <c r="AL398" s="159">
        <f>IF(AL$2&lt;=analysis_period,IF(SUM($C712:AL712)&gt;0,AK398+1,0),0)</f>
        <v>0</v>
      </c>
      <c r="AM398" s="159">
        <f>IF(AM$2&lt;=analysis_period,IF(SUM($C712:AM712)&gt;0,AL398+1,0),0)</f>
        <v>0</v>
      </c>
      <c r="AN398" s="159">
        <f>IF(AN$2&lt;=analysis_period,IF(SUM($C712:AN712)&gt;0,AM398+1,0),0)</f>
        <v>0</v>
      </c>
      <c r="AO398" s="159">
        <f>IF(AO$2&lt;=analysis_period,IF(SUM($C712:AO712)&gt;0,AN398+1,0),0)</f>
        <v>0</v>
      </c>
      <c r="AP398" s="159">
        <f>IF(AP$2&lt;=analysis_period,IF(SUM($C712:AP712)&gt;0,AO398+1,0),0)</f>
        <v>0</v>
      </c>
    </row>
    <row r="399" spans="1:42" x14ac:dyDescent="0.2">
      <c r="A399" s="4">
        <f>A398+1</f>
        <v>2</v>
      </c>
      <c r="B399" s="4">
        <v>0</v>
      </c>
      <c r="C399" s="159">
        <f>IF(C$2&lt;=analysis_period,IF(SUM($C713:C713)&gt;0,B399+1,0),0)</f>
        <v>0</v>
      </c>
      <c r="D399" s="159">
        <f>IF(D$2&lt;=analysis_period,IF(SUM($C713:D713)&gt;0,C399+1,0),0)</f>
        <v>0</v>
      </c>
      <c r="E399" s="159">
        <f>IF(E$2&lt;=analysis_period,IF(SUM($C713:E713)&gt;0,D399+1,0),0)</f>
        <v>0</v>
      </c>
      <c r="F399" s="159">
        <f>IF(F$2&lt;=analysis_period,IF(SUM($C713:F713)&gt;0,E399+1,0),0)</f>
        <v>0</v>
      </c>
      <c r="G399" s="159">
        <f>IF(G$2&lt;=analysis_period,IF(SUM($C713:G713)&gt;0,F399+1,0),0)</f>
        <v>0</v>
      </c>
      <c r="H399" s="159">
        <f>IF(H$2&lt;=analysis_period,IF(SUM($C713:H713)&gt;0,G399+1,0),0)</f>
        <v>0</v>
      </c>
      <c r="I399" s="159">
        <f>IF(I$2&lt;=analysis_period,IF(SUM($C713:I713)&gt;0,H399+1,0),0)</f>
        <v>0</v>
      </c>
      <c r="J399" s="159">
        <f>IF(J$2&lt;=analysis_period,IF(SUM($C713:J713)&gt;0,I399+1,0),0)</f>
        <v>0</v>
      </c>
      <c r="K399" s="159">
        <f>IF(K$2&lt;=analysis_period,IF(SUM($C713:K713)&gt;0,J399+1,0),0)</f>
        <v>0</v>
      </c>
      <c r="L399" s="159">
        <f>IF(L$2&lt;=analysis_period,IF(SUM($C713:L713)&gt;0,K399+1,0),0)</f>
        <v>0</v>
      </c>
      <c r="M399" s="159">
        <f>IF(M$2&lt;=analysis_period,IF(SUM($C713:M713)&gt;0,L399+1,0),0)</f>
        <v>0</v>
      </c>
      <c r="N399" s="159">
        <f>IF(N$2&lt;=analysis_period,IF(SUM($C713:N713)&gt;0,M399+1,0),0)</f>
        <v>0</v>
      </c>
      <c r="O399" s="159">
        <f>IF(O$2&lt;=analysis_period,IF(SUM($C713:O713)&gt;0,N399+1,0),0)</f>
        <v>0</v>
      </c>
      <c r="P399" s="159">
        <f>IF(P$2&lt;=analysis_period,IF(SUM($C713:P713)&gt;0,O399+1,0),0)</f>
        <v>0</v>
      </c>
      <c r="Q399" s="159">
        <f>IF(Q$2&lt;=analysis_period,IF(SUM($C713:Q713)&gt;0,P399+1,0),0)</f>
        <v>0</v>
      </c>
      <c r="R399" s="159">
        <f>IF(R$2&lt;=analysis_period,IF(SUM($C713:R713)&gt;0,Q399+1,0),0)</f>
        <v>0</v>
      </c>
      <c r="S399" s="159">
        <f>IF(S$2&lt;=analysis_period,IF(SUM($C713:S713)&gt;0,R399+1,0),0)</f>
        <v>0</v>
      </c>
      <c r="T399" s="159">
        <f>IF(T$2&lt;=analysis_period,IF(SUM($C713:T713)&gt;0,S399+1,0),0)</f>
        <v>0</v>
      </c>
      <c r="U399" s="159">
        <f>IF(U$2&lt;=analysis_period,IF(SUM($C713:U713)&gt;0,T399+1,0),0)</f>
        <v>0</v>
      </c>
      <c r="V399" s="159">
        <f>IF(V$2&lt;=analysis_period,IF(SUM($C713:V713)&gt;0,U399+1,0),0)</f>
        <v>0</v>
      </c>
      <c r="W399" s="159">
        <f>IF(W$2&lt;=analysis_period,IF(SUM($C713:W713)&gt;0,V399+1,0),0)</f>
        <v>0</v>
      </c>
      <c r="X399" s="159">
        <f>IF(X$2&lt;=analysis_period,IF(SUM($C713:X713)&gt;0,W399+1,0),0)</f>
        <v>0</v>
      </c>
      <c r="Y399" s="159">
        <f>IF(Y$2&lt;=analysis_period,IF(SUM($C713:Y713)&gt;0,X399+1,0),0)</f>
        <v>0</v>
      </c>
      <c r="Z399" s="159">
        <f>IF(Z$2&lt;=analysis_period,IF(SUM($C713:Z713)&gt;0,Y399+1,0),0)</f>
        <v>0</v>
      </c>
      <c r="AA399" s="159">
        <f>IF(AA$2&lt;=analysis_period,IF(SUM($C713:AA713)&gt;0,Z399+1,0),0)</f>
        <v>0</v>
      </c>
      <c r="AB399" s="159">
        <f>IF(AB$2&lt;=analysis_period,IF(SUM($C713:AB713)&gt;0,AA399+1,0),0)</f>
        <v>0</v>
      </c>
      <c r="AC399" s="159">
        <f>IF(AC$2&lt;=analysis_period,IF(SUM($C713:AC713)&gt;0,AB399+1,0),0)</f>
        <v>0</v>
      </c>
      <c r="AD399" s="159">
        <f>IF(AD$2&lt;=analysis_period,IF(SUM($C713:AD713)&gt;0,AC399+1,0),0)</f>
        <v>0</v>
      </c>
      <c r="AE399" s="159">
        <f>IF(AE$2&lt;=analysis_period,IF(SUM($C713:AE713)&gt;0,AD399+1,0),0)</f>
        <v>0</v>
      </c>
      <c r="AF399" s="159">
        <f>IF(AF$2&lt;=analysis_period,IF(SUM($C713:AF713)&gt;0,AE399+1,0),0)</f>
        <v>0</v>
      </c>
      <c r="AG399" s="159">
        <f>IF(AG$2&lt;=analysis_period,IF(SUM($C713:AG713)&gt;0,AF399+1,0),0)</f>
        <v>0</v>
      </c>
      <c r="AH399" s="159">
        <f>IF(AH$2&lt;=analysis_period,IF(SUM($C713:AH713)&gt;0,AG399+1,0),0)</f>
        <v>0</v>
      </c>
      <c r="AI399" s="159">
        <f>IF(AI$2&lt;=analysis_period,IF(SUM($C713:AI713)&gt;0,AH399+1,0),0)</f>
        <v>0</v>
      </c>
      <c r="AJ399" s="159">
        <f>IF(AJ$2&lt;=analysis_period,IF(SUM($C713:AJ713)&gt;0,AI399+1,0),0)</f>
        <v>0</v>
      </c>
      <c r="AK399" s="159">
        <f>IF(AK$2&lt;=analysis_period,IF(SUM($C713:AK713)&gt;0,AJ399+1,0),0)</f>
        <v>0</v>
      </c>
      <c r="AL399" s="159">
        <f>IF(AL$2&lt;=analysis_period,IF(SUM($C713:AL713)&gt;0,AK399+1,0),0)</f>
        <v>0</v>
      </c>
      <c r="AM399" s="159">
        <f>IF(AM$2&lt;=analysis_period,IF(SUM($C713:AM713)&gt;0,AL399+1,0),0)</f>
        <v>0</v>
      </c>
      <c r="AN399" s="159">
        <f>IF(AN$2&lt;=analysis_period,IF(SUM($C713:AN713)&gt;0,AM399+1,0),0)</f>
        <v>0</v>
      </c>
      <c r="AO399" s="159">
        <f>IF(AO$2&lt;=analysis_period,IF(SUM($C713:AO713)&gt;0,AN399+1,0),0)</f>
        <v>0</v>
      </c>
      <c r="AP399" s="159">
        <f>IF(AP$2&lt;=analysis_period,IF(SUM($C713:AP713)&gt;0,AO399+1,0),0)</f>
        <v>0</v>
      </c>
    </row>
    <row r="400" spans="1:42" x14ac:dyDescent="0.2">
      <c r="A400" s="4">
        <f t="shared" ref="A400:A407" si="157">A399+1</f>
        <v>3</v>
      </c>
      <c r="B400" s="4">
        <v>0</v>
      </c>
      <c r="C400" s="159">
        <f>IF(C$2&lt;=analysis_period,IF(SUM($C714:C714)&gt;0,B400+1,0),0)</f>
        <v>0</v>
      </c>
      <c r="D400" s="159">
        <f>IF(D$2&lt;=analysis_period,IF(SUM($C714:D714)&gt;0,C400+1,0),0)</f>
        <v>0</v>
      </c>
      <c r="E400" s="159">
        <f>IF(E$2&lt;=analysis_period,IF(SUM($C714:E714)&gt;0,D400+1,0),0)</f>
        <v>0</v>
      </c>
      <c r="F400" s="159">
        <f>IF(F$2&lt;=analysis_period,IF(SUM($C714:F714)&gt;0,E400+1,0),0)</f>
        <v>0</v>
      </c>
      <c r="G400" s="159">
        <f>IF(G$2&lt;=analysis_period,IF(SUM($C714:G714)&gt;0,F400+1,0),0)</f>
        <v>0</v>
      </c>
      <c r="H400" s="159">
        <f>IF(H$2&lt;=analysis_period,IF(SUM($C714:H714)&gt;0,G400+1,0),0)</f>
        <v>0</v>
      </c>
      <c r="I400" s="159">
        <f>IF(I$2&lt;=analysis_period,IF(SUM($C714:I714)&gt;0,H400+1,0),0)</f>
        <v>0</v>
      </c>
      <c r="J400" s="159">
        <f>IF(J$2&lt;=analysis_period,IF(SUM($C714:J714)&gt;0,I400+1,0),0)</f>
        <v>0</v>
      </c>
      <c r="K400" s="159">
        <f>IF(K$2&lt;=analysis_period,IF(SUM($C714:K714)&gt;0,J400+1,0),0)</f>
        <v>0</v>
      </c>
      <c r="L400" s="159">
        <f>IF(L$2&lt;=analysis_period,IF(SUM($C714:L714)&gt;0,K400+1,0),0)</f>
        <v>0</v>
      </c>
      <c r="M400" s="159">
        <f>IF(M$2&lt;=analysis_period,IF(SUM($C714:M714)&gt;0,L400+1,0),0)</f>
        <v>0</v>
      </c>
      <c r="N400" s="159">
        <f>IF(N$2&lt;=analysis_period,IF(SUM($C714:N714)&gt;0,M400+1,0),0)</f>
        <v>0</v>
      </c>
      <c r="O400" s="159">
        <f>IF(O$2&lt;=analysis_period,IF(SUM($C714:O714)&gt;0,N400+1,0),0)</f>
        <v>0</v>
      </c>
      <c r="P400" s="159">
        <f>IF(P$2&lt;=analysis_period,IF(SUM($C714:P714)&gt;0,O400+1,0),0)</f>
        <v>0</v>
      </c>
      <c r="Q400" s="159">
        <f>IF(Q$2&lt;=analysis_period,IF(SUM($C714:Q714)&gt;0,P400+1,0),0)</f>
        <v>0</v>
      </c>
      <c r="R400" s="159">
        <f>IF(R$2&lt;=analysis_period,IF(SUM($C714:R714)&gt;0,Q400+1,0),0)</f>
        <v>0</v>
      </c>
      <c r="S400" s="159">
        <f>IF(S$2&lt;=analysis_period,IF(SUM($C714:S714)&gt;0,R400+1,0),0)</f>
        <v>0</v>
      </c>
      <c r="T400" s="159">
        <f>IF(T$2&lt;=analysis_period,IF(SUM($C714:T714)&gt;0,S400+1,0),0)</f>
        <v>0</v>
      </c>
      <c r="U400" s="159">
        <f>IF(U$2&lt;=analysis_period,IF(SUM($C714:U714)&gt;0,T400+1,0),0)</f>
        <v>0</v>
      </c>
      <c r="V400" s="159">
        <f>IF(V$2&lt;=analysis_period,IF(SUM($C714:V714)&gt;0,U400+1,0),0)</f>
        <v>0</v>
      </c>
      <c r="W400" s="159">
        <f>IF(W$2&lt;=analysis_period,IF(SUM($C714:W714)&gt;0,V400+1,0),0)</f>
        <v>0</v>
      </c>
      <c r="X400" s="159">
        <f>IF(X$2&lt;=analysis_period,IF(SUM($C714:X714)&gt;0,W400+1,0),0)</f>
        <v>0</v>
      </c>
      <c r="Y400" s="159">
        <f>IF(Y$2&lt;=analysis_period,IF(SUM($C714:Y714)&gt;0,X400+1,0),0)</f>
        <v>0</v>
      </c>
      <c r="Z400" s="159">
        <f>IF(Z$2&lt;=analysis_period,IF(SUM($C714:Z714)&gt;0,Y400+1,0),0)</f>
        <v>0</v>
      </c>
      <c r="AA400" s="159">
        <f>IF(AA$2&lt;=analysis_period,IF(SUM($C714:AA714)&gt;0,Z400+1,0),0)</f>
        <v>0</v>
      </c>
      <c r="AB400" s="159">
        <f>IF(AB$2&lt;=analysis_period,IF(SUM($C714:AB714)&gt;0,AA400+1,0),0)</f>
        <v>0</v>
      </c>
      <c r="AC400" s="159">
        <f>IF(AC$2&lt;=analysis_period,IF(SUM($C714:AC714)&gt;0,AB400+1,0),0)</f>
        <v>0</v>
      </c>
      <c r="AD400" s="159">
        <f>IF(AD$2&lt;=analysis_period,IF(SUM($C714:AD714)&gt;0,AC400+1,0),0)</f>
        <v>0</v>
      </c>
      <c r="AE400" s="159">
        <f>IF(AE$2&lt;=analysis_period,IF(SUM($C714:AE714)&gt;0,AD400+1,0),0)</f>
        <v>0</v>
      </c>
      <c r="AF400" s="159">
        <f>IF(AF$2&lt;=analysis_period,IF(SUM($C714:AF714)&gt;0,AE400+1,0),0)</f>
        <v>0</v>
      </c>
      <c r="AG400" s="159">
        <f>IF(AG$2&lt;=analysis_period,IF(SUM($C714:AG714)&gt;0,AF400+1,0),0)</f>
        <v>0</v>
      </c>
      <c r="AH400" s="159">
        <f>IF(AH$2&lt;=analysis_period,IF(SUM($C714:AH714)&gt;0,AG400+1,0),0)</f>
        <v>0</v>
      </c>
      <c r="AI400" s="159">
        <f>IF(AI$2&lt;=analysis_period,IF(SUM($C714:AI714)&gt;0,AH400+1,0),0)</f>
        <v>0</v>
      </c>
      <c r="AJ400" s="159">
        <f>IF(AJ$2&lt;=analysis_period,IF(SUM($C714:AJ714)&gt;0,AI400+1,0),0)</f>
        <v>0</v>
      </c>
      <c r="AK400" s="159">
        <f>IF(AK$2&lt;=analysis_period,IF(SUM($C714:AK714)&gt;0,AJ400+1,0),0)</f>
        <v>0</v>
      </c>
      <c r="AL400" s="159">
        <f>IF(AL$2&lt;=analysis_period,IF(SUM($C714:AL714)&gt;0,AK400+1,0),0)</f>
        <v>0</v>
      </c>
      <c r="AM400" s="159">
        <f>IF(AM$2&lt;=analysis_period,IF(SUM($C714:AM714)&gt;0,AL400+1,0),0)</f>
        <v>0</v>
      </c>
      <c r="AN400" s="159">
        <f>IF(AN$2&lt;=analysis_period,IF(SUM($C714:AN714)&gt;0,AM400+1,0),0)</f>
        <v>0</v>
      </c>
      <c r="AO400" s="159">
        <f>IF(AO$2&lt;=analysis_period,IF(SUM($C714:AO714)&gt;0,AN400+1,0),0)</f>
        <v>0</v>
      </c>
      <c r="AP400" s="159">
        <f>IF(AP$2&lt;=analysis_period,IF(SUM($C714:AP714)&gt;0,AO400+1,0),0)</f>
        <v>0</v>
      </c>
    </row>
    <row r="401" spans="1:42" x14ac:dyDescent="0.2">
      <c r="A401" s="4">
        <f t="shared" si="157"/>
        <v>4</v>
      </c>
      <c r="B401" s="4">
        <v>0</v>
      </c>
      <c r="C401" s="159">
        <f>IF(C$2&lt;=analysis_period,IF(SUM($C715:C715)&gt;0,B401+1,0),0)</f>
        <v>0</v>
      </c>
      <c r="D401" s="159">
        <f>IF(D$2&lt;=analysis_period,IF(SUM($C715:D715)&gt;0,C401+1,0),0)</f>
        <v>0</v>
      </c>
      <c r="E401" s="159">
        <f>IF(E$2&lt;=analysis_period,IF(SUM($C715:E715)&gt;0,D401+1,0),0)</f>
        <v>0</v>
      </c>
      <c r="F401" s="159">
        <f>IF(F$2&lt;=analysis_period,IF(SUM($C715:F715)&gt;0,E401+1,0),0)</f>
        <v>0</v>
      </c>
      <c r="G401" s="159">
        <f>IF(G$2&lt;=analysis_period,IF(SUM($C715:G715)&gt;0,F401+1,0),0)</f>
        <v>0</v>
      </c>
      <c r="H401" s="159">
        <f>IF(H$2&lt;=analysis_period,IF(SUM($C715:H715)&gt;0,G401+1,0),0)</f>
        <v>0</v>
      </c>
      <c r="I401" s="159">
        <f>IF(I$2&lt;=analysis_period,IF(SUM($C715:I715)&gt;0,H401+1,0),0)</f>
        <v>0</v>
      </c>
      <c r="J401" s="159">
        <f>IF(J$2&lt;=analysis_period,IF(SUM($C715:J715)&gt;0,I401+1,0),0)</f>
        <v>0</v>
      </c>
      <c r="K401" s="159">
        <f>IF(K$2&lt;=analysis_period,IF(SUM($C715:K715)&gt;0,J401+1,0),0)</f>
        <v>0</v>
      </c>
      <c r="L401" s="159">
        <f>IF(L$2&lt;=analysis_period,IF(SUM($C715:L715)&gt;0,K401+1,0),0)</f>
        <v>0</v>
      </c>
      <c r="M401" s="159">
        <f>IF(M$2&lt;=analysis_period,IF(SUM($C715:M715)&gt;0,L401+1,0),0)</f>
        <v>0</v>
      </c>
      <c r="N401" s="159">
        <f>IF(N$2&lt;=analysis_period,IF(SUM($C715:N715)&gt;0,M401+1,0),0)</f>
        <v>0</v>
      </c>
      <c r="O401" s="159">
        <f>IF(O$2&lt;=analysis_period,IF(SUM($C715:O715)&gt;0,N401+1,0),0)</f>
        <v>0</v>
      </c>
      <c r="P401" s="159">
        <f>IF(P$2&lt;=analysis_period,IF(SUM($C715:P715)&gt;0,O401+1,0),0)</f>
        <v>0</v>
      </c>
      <c r="Q401" s="159">
        <f>IF(Q$2&lt;=analysis_period,IF(SUM($C715:Q715)&gt;0,P401+1,0),0)</f>
        <v>0</v>
      </c>
      <c r="R401" s="159">
        <f>IF(R$2&lt;=analysis_period,IF(SUM($C715:R715)&gt;0,Q401+1,0),0)</f>
        <v>0</v>
      </c>
      <c r="S401" s="159">
        <f>IF(S$2&lt;=analysis_period,IF(SUM($C715:S715)&gt;0,R401+1,0),0)</f>
        <v>0</v>
      </c>
      <c r="T401" s="159">
        <f>IF(T$2&lt;=analysis_period,IF(SUM($C715:T715)&gt;0,S401+1,0),0)</f>
        <v>0</v>
      </c>
      <c r="U401" s="159">
        <f>IF(U$2&lt;=analysis_period,IF(SUM($C715:U715)&gt;0,T401+1,0),0)</f>
        <v>0</v>
      </c>
      <c r="V401" s="159">
        <f>IF(V$2&lt;=analysis_period,IF(SUM($C715:V715)&gt;0,U401+1,0),0)</f>
        <v>0</v>
      </c>
      <c r="W401" s="159">
        <f>IF(W$2&lt;=analysis_period,IF(SUM($C715:W715)&gt;0,V401+1,0),0)</f>
        <v>0</v>
      </c>
      <c r="X401" s="159">
        <f>IF(X$2&lt;=analysis_period,IF(SUM($C715:X715)&gt;0,W401+1,0),0)</f>
        <v>0</v>
      </c>
      <c r="Y401" s="159">
        <f>IF(Y$2&lt;=analysis_period,IF(SUM($C715:Y715)&gt;0,X401+1,0),0)</f>
        <v>0</v>
      </c>
      <c r="Z401" s="159">
        <f>IF(Z$2&lt;=analysis_period,IF(SUM($C715:Z715)&gt;0,Y401+1,0),0)</f>
        <v>0</v>
      </c>
      <c r="AA401" s="159">
        <f>IF(AA$2&lt;=analysis_period,IF(SUM($C715:AA715)&gt;0,Z401+1,0),0)</f>
        <v>0</v>
      </c>
      <c r="AB401" s="159">
        <f>IF(AB$2&lt;=analysis_period,IF(SUM($C715:AB715)&gt;0,AA401+1,0),0)</f>
        <v>0</v>
      </c>
      <c r="AC401" s="159">
        <f>IF(AC$2&lt;=analysis_period,IF(SUM($C715:AC715)&gt;0,AB401+1,0),0)</f>
        <v>0</v>
      </c>
      <c r="AD401" s="159">
        <f>IF(AD$2&lt;=analysis_period,IF(SUM($C715:AD715)&gt;0,AC401+1,0),0)</f>
        <v>0</v>
      </c>
      <c r="AE401" s="159">
        <f>IF(AE$2&lt;=analysis_period,IF(SUM($C715:AE715)&gt;0,AD401+1,0),0)</f>
        <v>0</v>
      </c>
      <c r="AF401" s="159">
        <f>IF(AF$2&lt;=analysis_period,IF(SUM($C715:AF715)&gt;0,AE401+1,0),0)</f>
        <v>0</v>
      </c>
      <c r="AG401" s="159">
        <f>IF(AG$2&lt;=analysis_period,IF(SUM($C715:AG715)&gt;0,AF401+1,0),0)</f>
        <v>0</v>
      </c>
      <c r="AH401" s="159">
        <f>IF(AH$2&lt;=analysis_period,IF(SUM($C715:AH715)&gt;0,AG401+1,0),0)</f>
        <v>0</v>
      </c>
      <c r="AI401" s="159">
        <f>IF(AI$2&lt;=analysis_period,IF(SUM($C715:AI715)&gt;0,AH401+1,0),0)</f>
        <v>0</v>
      </c>
      <c r="AJ401" s="159">
        <f>IF(AJ$2&lt;=analysis_period,IF(SUM($C715:AJ715)&gt;0,AI401+1,0),0)</f>
        <v>0</v>
      </c>
      <c r="AK401" s="159">
        <f>IF(AK$2&lt;=analysis_period,IF(SUM($C715:AK715)&gt;0,AJ401+1,0),0)</f>
        <v>0</v>
      </c>
      <c r="AL401" s="159">
        <f>IF(AL$2&lt;=analysis_period,IF(SUM($C715:AL715)&gt;0,AK401+1,0),0)</f>
        <v>0</v>
      </c>
      <c r="AM401" s="159">
        <f>IF(AM$2&lt;=analysis_period,IF(SUM($C715:AM715)&gt;0,AL401+1,0),0)</f>
        <v>0</v>
      </c>
      <c r="AN401" s="159">
        <f>IF(AN$2&lt;=analysis_period,IF(SUM($C715:AN715)&gt;0,AM401+1,0),0)</f>
        <v>0</v>
      </c>
      <c r="AO401" s="159">
        <f>IF(AO$2&lt;=analysis_period,IF(SUM($C715:AO715)&gt;0,AN401+1,0),0)</f>
        <v>0</v>
      </c>
      <c r="AP401" s="159">
        <f>IF(AP$2&lt;=analysis_period,IF(SUM($C715:AP715)&gt;0,AO401+1,0),0)</f>
        <v>0</v>
      </c>
    </row>
    <row r="402" spans="1:42" x14ac:dyDescent="0.2">
      <c r="A402" s="4">
        <f t="shared" si="157"/>
        <v>5</v>
      </c>
      <c r="B402" s="4">
        <v>0</v>
      </c>
      <c r="C402" s="159">
        <f>IF(C$2&lt;=analysis_period,IF(SUM($C716:C716)&gt;0,B402+1,0),0)</f>
        <v>0</v>
      </c>
      <c r="D402" s="159">
        <f>IF(D$2&lt;=analysis_period,IF(SUM($C716:D716)&gt;0,C402+1,0),0)</f>
        <v>0</v>
      </c>
      <c r="E402" s="159">
        <f>IF(E$2&lt;=analysis_period,IF(SUM($C716:E716)&gt;0,D402+1,0),0)</f>
        <v>0</v>
      </c>
      <c r="F402" s="159">
        <f>IF(F$2&lt;=analysis_period,IF(SUM($C716:F716)&gt;0,E402+1,0),0)</f>
        <v>0</v>
      </c>
      <c r="G402" s="159">
        <f>IF(G$2&lt;=analysis_period,IF(SUM($C716:G716)&gt;0,F402+1,0),0)</f>
        <v>0</v>
      </c>
      <c r="H402" s="159">
        <f>IF(H$2&lt;=analysis_period,IF(SUM($C716:H716)&gt;0,G402+1,0),0)</f>
        <v>0</v>
      </c>
      <c r="I402" s="159">
        <f>IF(I$2&lt;=analysis_period,IF(SUM($C716:I716)&gt;0,H402+1,0),0)</f>
        <v>0</v>
      </c>
      <c r="J402" s="159">
        <f>IF(J$2&lt;=analysis_period,IF(SUM($C716:J716)&gt;0,I402+1,0),0)</f>
        <v>0</v>
      </c>
      <c r="K402" s="159">
        <f>IF(K$2&lt;=analysis_period,IF(SUM($C716:K716)&gt;0,J402+1,0),0)</f>
        <v>0</v>
      </c>
      <c r="L402" s="159">
        <f>IF(L$2&lt;=analysis_period,IF(SUM($C716:L716)&gt;0,K402+1,0),0)</f>
        <v>0</v>
      </c>
      <c r="M402" s="159">
        <f>IF(M$2&lt;=analysis_period,IF(SUM($C716:M716)&gt;0,L402+1,0),0)</f>
        <v>0</v>
      </c>
      <c r="N402" s="159">
        <f>IF(N$2&lt;=analysis_period,IF(SUM($C716:N716)&gt;0,M402+1,0),0)</f>
        <v>0</v>
      </c>
      <c r="O402" s="159">
        <f>IF(O$2&lt;=analysis_period,IF(SUM($C716:O716)&gt;0,N402+1,0),0)</f>
        <v>0</v>
      </c>
      <c r="P402" s="159">
        <f>IF(P$2&lt;=analysis_period,IF(SUM($C716:P716)&gt;0,O402+1,0),0)</f>
        <v>0</v>
      </c>
      <c r="Q402" s="159">
        <f>IF(Q$2&lt;=analysis_period,IF(SUM($C716:Q716)&gt;0,P402+1,0),0)</f>
        <v>0</v>
      </c>
      <c r="R402" s="159">
        <f>IF(R$2&lt;=analysis_period,IF(SUM($C716:R716)&gt;0,Q402+1,0),0)</f>
        <v>0</v>
      </c>
      <c r="S402" s="159">
        <f>IF(S$2&lt;=analysis_period,IF(SUM($C716:S716)&gt;0,R402+1,0),0)</f>
        <v>0</v>
      </c>
      <c r="T402" s="159">
        <f>IF(T$2&lt;=analysis_period,IF(SUM($C716:T716)&gt;0,S402+1,0),0)</f>
        <v>0</v>
      </c>
      <c r="U402" s="159">
        <f>IF(U$2&lt;=analysis_period,IF(SUM($C716:U716)&gt;0,T402+1,0),0)</f>
        <v>0</v>
      </c>
      <c r="V402" s="159">
        <f>IF(V$2&lt;=analysis_period,IF(SUM($C716:V716)&gt;0,U402+1,0),0)</f>
        <v>0</v>
      </c>
      <c r="W402" s="159">
        <f>IF(W$2&lt;=analysis_period,IF(SUM($C716:W716)&gt;0,V402+1,0),0)</f>
        <v>0</v>
      </c>
      <c r="X402" s="159">
        <f>IF(X$2&lt;=analysis_period,IF(SUM($C716:X716)&gt;0,W402+1,0),0)</f>
        <v>0</v>
      </c>
      <c r="Y402" s="159">
        <f>IF(Y$2&lt;=analysis_period,IF(SUM($C716:Y716)&gt;0,X402+1,0),0)</f>
        <v>0</v>
      </c>
      <c r="Z402" s="159">
        <f>IF(Z$2&lt;=analysis_period,IF(SUM($C716:Z716)&gt;0,Y402+1,0),0)</f>
        <v>0</v>
      </c>
      <c r="AA402" s="159">
        <f>IF(AA$2&lt;=analysis_period,IF(SUM($C716:AA716)&gt;0,Z402+1,0),0)</f>
        <v>0</v>
      </c>
      <c r="AB402" s="159">
        <f>IF(AB$2&lt;=analysis_period,IF(SUM($C716:AB716)&gt;0,AA402+1,0),0)</f>
        <v>0</v>
      </c>
      <c r="AC402" s="159">
        <f>IF(AC$2&lt;=analysis_period,IF(SUM($C716:AC716)&gt;0,AB402+1,0),0)</f>
        <v>0</v>
      </c>
      <c r="AD402" s="159">
        <f>IF(AD$2&lt;=analysis_period,IF(SUM($C716:AD716)&gt;0,AC402+1,0),0)</f>
        <v>0</v>
      </c>
      <c r="AE402" s="159">
        <f>IF(AE$2&lt;=analysis_period,IF(SUM($C716:AE716)&gt;0,AD402+1,0),0)</f>
        <v>0</v>
      </c>
      <c r="AF402" s="159">
        <f>IF(AF$2&lt;=analysis_period,IF(SUM($C716:AF716)&gt;0,AE402+1,0),0)</f>
        <v>0</v>
      </c>
      <c r="AG402" s="159">
        <f>IF(AG$2&lt;=analysis_period,IF(SUM($C716:AG716)&gt;0,AF402+1,0),0)</f>
        <v>0</v>
      </c>
      <c r="AH402" s="159">
        <f>IF(AH$2&lt;=analysis_period,IF(SUM($C716:AH716)&gt;0,AG402+1,0),0)</f>
        <v>0</v>
      </c>
      <c r="AI402" s="159">
        <f>IF(AI$2&lt;=analysis_period,IF(SUM($C716:AI716)&gt;0,AH402+1,0),0)</f>
        <v>0</v>
      </c>
      <c r="AJ402" s="159">
        <f>IF(AJ$2&lt;=analysis_period,IF(SUM($C716:AJ716)&gt;0,AI402+1,0),0)</f>
        <v>0</v>
      </c>
      <c r="AK402" s="159">
        <f>IF(AK$2&lt;=analysis_period,IF(SUM($C716:AK716)&gt;0,AJ402+1,0),0)</f>
        <v>0</v>
      </c>
      <c r="AL402" s="159">
        <f>IF(AL$2&lt;=analysis_period,IF(SUM($C716:AL716)&gt;0,AK402+1,0),0)</f>
        <v>0</v>
      </c>
      <c r="AM402" s="159">
        <f>IF(AM$2&lt;=analysis_period,IF(SUM($C716:AM716)&gt;0,AL402+1,0),0)</f>
        <v>0</v>
      </c>
      <c r="AN402" s="159">
        <f>IF(AN$2&lt;=analysis_period,IF(SUM($C716:AN716)&gt;0,AM402+1,0),0)</f>
        <v>0</v>
      </c>
      <c r="AO402" s="159">
        <f>IF(AO$2&lt;=analysis_period,IF(SUM($C716:AO716)&gt;0,AN402+1,0),0)</f>
        <v>0</v>
      </c>
      <c r="AP402" s="159">
        <f>IF(AP$2&lt;=analysis_period,IF(SUM($C716:AP716)&gt;0,AO402+1,0),0)</f>
        <v>0</v>
      </c>
    </row>
    <row r="403" spans="1:42" x14ac:dyDescent="0.2">
      <c r="A403" s="4">
        <f t="shared" si="157"/>
        <v>6</v>
      </c>
      <c r="B403" s="4">
        <v>0</v>
      </c>
      <c r="C403" s="159">
        <f>IF(C$2&lt;=analysis_period,IF(SUM($C717:C717)&gt;0,B403+1,0),0)</f>
        <v>0</v>
      </c>
      <c r="D403" s="159">
        <f>IF(D$2&lt;=analysis_period,IF(SUM($C717:D717)&gt;0,C403+1,0),0)</f>
        <v>0</v>
      </c>
      <c r="E403" s="159">
        <f>IF(E$2&lt;=analysis_period,IF(SUM($C717:E717)&gt;0,D403+1,0),0)</f>
        <v>0</v>
      </c>
      <c r="F403" s="159">
        <f>IF(F$2&lt;=analysis_period,IF(SUM($C717:F717)&gt;0,E403+1,0),0)</f>
        <v>0</v>
      </c>
      <c r="G403" s="159">
        <f>IF(G$2&lt;=analysis_period,IF(SUM($C717:G717)&gt;0,F403+1,0),0)</f>
        <v>0</v>
      </c>
      <c r="H403" s="159">
        <f>IF(H$2&lt;=analysis_period,IF(SUM($C717:H717)&gt;0,G403+1,0),0)</f>
        <v>0</v>
      </c>
      <c r="I403" s="159">
        <f>IF(I$2&lt;=analysis_period,IF(SUM($C717:I717)&gt;0,H403+1,0),0)</f>
        <v>0</v>
      </c>
      <c r="J403" s="159">
        <f>IF(J$2&lt;=analysis_period,IF(SUM($C717:J717)&gt;0,I403+1,0),0)</f>
        <v>0</v>
      </c>
      <c r="K403" s="159">
        <f>IF(K$2&lt;=analysis_period,IF(SUM($C717:K717)&gt;0,J403+1,0),0)</f>
        <v>0</v>
      </c>
      <c r="L403" s="159">
        <f>IF(L$2&lt;=analysis_period,IF(SUM($C717:L717)&gt;0,K403+1,0),0)</f>
        <v>0</v>
      </c>
      <c r="M403" s="159">
        <f>IF(M$2&lt;=analysis_period,IF(SUM($C717:M717)&gt;0,L403+1,0),0)</f>
        <v>0</v>
      </c>
      <c r="N403" s="159">
        <f>IF(N$2&lt;=analysis_period,IF(SUM($C717:N717)&gt;0,M403+1,0),0)</f>
        <v>0</v>
      </c>
      <c r="O403" s="159">
        <f>IF(O$2&lt;=analysis_period,IF(SUM($C717:O717)&gt;0,N403+1,0),0)</f>
        <v>0</v>
      </c>
      <c r="P403" s="159">
        <f>IF(P$2&lt;=analysis_period,IF(SUM($C717:P717)&gt;0,O403+1,0),0)</f>
        <v>0</v>
      </c>
      <c r="Q403" s="159">
        <f>IF(Q$2&lt;=analysis_period,IF(SUM($C717:Q717)&gt;0,P403+1,0),0)</f>
        <v>0</v>
      </c>
      <c r="R403" s="159">
        <f>IF(R$2&lt;=analysis_period,IF(SUM($C717:R717)&gt;0,Q403+1,0),0)</f>
        <v>0</v>
      </c>
      <c r="S403" s="159">
        <f>IF(S$2&lt;=analysis_period,IF(SUM($C717:S717)&gt;0,R403+1,0),0)</f>
        <v>0</v>
      </c>
      <c r="T403" s="159">
        <f>IF(T$2&lt;=analysis_period,IF(SUM($C717:T717)&gt;0,S403+1,0),0)</f>
        <v>0</v>
      </c>
      <c r="U403" s="159">
        <f>IF(U$2&lt;=analysis_period,IF(SUM($C717:U717)&gt;0,T403+1,0),0)</f>
        <v>0</v>
      </c>
      <c r="V403" s="159">
        <f>IF(V$2&lt;=analysis_period,IF(SUM($C717:V717)&gt;0,U403+1,0),0)</f>
        <v>0</v>
      </c>
      <c r="W403" s="159">
        <f>IF(W$2&lt;=analysis_period,IF(SUM($C717:W717)&gt;0,V403+1,0),0)</f>
        <v>0</v>
      </c>
      <c r="X403" s="159">
        <f>IF(X$2&lt;=analysis_period,IF(SUM($C717:X717)&gt;0,W403+1,0),0)</f>
        <v>0</v>
      </c>
      <c r="Y403" s="159">
        <f>IF(Y$2&lt;=analysis_period,IF(SUM($C717:Y717)&gt;0,X403+1,0),0)</f>
        <v>0</v>
      </c>
      <c r="Z403" s="159">
        <f>IF(Z$2&lt;=analysis_period,IF(SUM($C717:Z717)&gt;0,Y403+1,0),0)</f>
        <v>0</v>
      </c>
      <c r="AA403" s="159">
        <f>IF(AA$2&lt;=analysis_period,IF(SUM($C717:AA717)&gt;0,Z403+1,0),0)</f>
        <v>0</v>
      </c>
      <c r="AB403" s="159">
        <f>IF(AB$2&lt;=analysis_period,IF(SUM($C717:AB717)&gt;0,AA403+1,0),0)</f>
        <v>0</v>
      </c>
      <c r="AC403" s="159">
        <f>IF(AC$2&lt;=analysis_period,IF(SUM($C717:AC717)&gt;0,AB403+1,0),0)</f>
        <v>0</v>
      </c>
      <c r="AD403" s="159">
        <f>IF(AD$2&lt;=analysis_period,IF(SUM($C717:AD717)&gt;0,AC403+1,0),0)</f>
        <v>0</v>
      </c>
      <c r="AE403" s="159">
        <f>IF(AE$2&lt;=analysis_period,IF(SUM($C717:AE717)&gt;0,AD403+1,0),0)</f>
        <v>0</v>
      </c>
      <c r="AF403" s="159">
        <f>IF(AF$2&lt;=analysis_period,IF(SUM($C717:AF717)&gt;0,AE403+1,0),0)</f>
        <v>0</v>
      </c>
      <c r="AG403" s="159">
        <f>IF(AG$2&lt;=analysis_period,IF(SUM($C717:AG717)&gt;0,AF403+1,0),0)</f>
        <v>0</v>
      </c>
      <c r="AH403" s="159">
        <f>IF(AH$2&lt;=analysis_period,IF(SUM($C717:AH717)&gt;0,AG403+1,0),0)</f>
        <v>0</v>
      </c>
      <c r="AI403" s="159">
        <f>IF(AI$2&lt;=analysis_period,IF(SUM($C717:AI717)&gt;0,AH403+1,0),0)</f>
        <v>0</v>
      </c>
      <c r="AJ403" s="159">
        <f>IF(AJ$2&lt;=analysis_period,IF(SUM($C717:AJ717)&gt;0,AI403+1,0),0)</f>
        <v>0</v>
      </c>
      <c r="AK403" s="159">
        <f>IF(AK$2&lt;=analysis_period,IF(SUM($C717:AK717)&gt;0,AJ403+1,0),0)</f>
        <v>0</v>
      </c>
      <c r="AL403" s="159">
        <f>IF(AL$2&lt;=analysis_period,IF(SUM($C717:AL717)&gt;0,AK403+1,0),0)</f>
        <v>0</v>
      </c>
      <c r="AM403" s="159">
        <f>IF(AM$2&lt;=analysis_period,IF(SUM($C717:AM717)&gt;0,AL403+1,0),0)</f>
        <v>0</v>
      </c>
      <c r="AN403" s="159">
        <f>IF(AN$2&lt;=analysis_period,IF(SUM($C717:AN717)&gt;0,AM403+1,0),0)</f>
        <v>0</v>
      </c>
      <c r="AO403" s="159">
        <f>IF(AO$2&lt;=analysis_period,IF(SUM($C717:AO717)&gt;0,AN403+1,0),0)</f>
        <v>0</v>
      </c>
      <c r="AP403" s="159">
        <f>IF(AP$2&lt;=analysis_period,IF(SUM($C717:AP717)&gt;0,AO403+1,0),0)</f>
        <v>0</v>
      </c>
    </row>
    <row r="404" spans="1:42" x14ac:dyDescent="0.2">
      <c r="A404" s="4">
        <f t="shared" si="157"/>
        <v>7</v>
      </c>
      <c r="B404" s="4">
        <v>0</v>
      </c>
      <c r="C404" s="159">
        <f>IF(C$2&lt;=analysis_period,IF(SUM($C718:C718)&gt;0,B404+1,0),0)</f>
        <v>0</v>
      </c>
      <c r="D404" s="159">
        <f>IF(D$2&lt;=analysis_period,IF(SUM($C718:D718)&gt;0,C404+1,0),0)</f>
        <v>0</v>
      </c>
      <c r="E404" s="159">
        <f>IF(E$2&lt;=analysis_period,IF(SUM($C718:E718)&gt;0,D404+1,0),0)</f>
        <v>0</v>
      </c>
      <c r="F404" s="159">
        <f>IF(F$2&lt;=analysis_period,IF(SUM($C718:F718)&gt;0,E404+1,0),0)</f>
        <v>0</v>
      </c>
      <c r="G404" s="159">
        <f>IF(G$2&lt;=analysis_period,IF(SUM($C718:G718)&gt;0,F404+1,0),0)</f>
        <v>0</v>
      </c>
      <c r="H404" s="159">
        <f>IF(H$2&lt;=analysis_period,IF(SUM($C718:H718)&gt;0,G404+1,0),0)</f>
        <v>0</v>
      </c>
      <c r="I404" s="159">
        <f>IF(I$2&lt;=analysis_period,IF(SUM($C718:I718)&gt;0,H404+1,0),0)</f>
        <v>0</v>
      </c>
      <c r="J404" s="159">
        <f>IF(J$2&lt;=analysis_period,IF(SUM($C718:J718)&gt;0,I404+1,0),0)</f>
        <v>0</v>
      </c>
      <c r="K404" s="159">
        <f>IF(K$2&lt;=analysis_period,IF(SUM($C718:K718)&gt;0,J404+1,0),0)</f>
        <v>0</v>
      </c>
      <c r="L404" s="159">
        <f>IF(L$2&lt;=analysis_period,IF(SUM($C718:L718)&gt;0,K404+1,0),0)</f>
        <v>0</v>
      </c>
      <c r="M404" s="159">
        <f>IF(M$2&lt;=analysis_period,IF(SUM($C718:M718)&gt;0,L404+1,0),0)</f>
        <v>0</v>
      </c>
      <c r="N404" s="159">
        <f>IF(N$2&lt;=analysis_period,IF(SUM($C718:N718)&gt;0,M404+1,0),0)</f>
        <v>0</v>
      </c>
      <c r="O404" s="159">
        <f>IF(O$2&lt;=analysis_period,IF(SUM($C718:O718)&gt;0,N404+1,0),0)</f>
        <v>0</v>
      </c>
      <c r="P404" s="159">
        <f>IF(P$2&lt;=analysis_period,IF(SUM($C718:P718)&gt;0,O404+1,0),0)</f>
        <v>0</v>
      </c>
      <c r="Q404" s="159">
        <f>IF(Q$2&lt;=analysis_period,IF(SUM($C718:Q718)&gt;0,P404+1,0),0)</f>
        <v>0</v>
      </c>
      <c r="R404" s="159">
        <f>IF(R$2&lt;=analysis_period,IF(SUM($C718:R718)&gt;0,Q404+1,0),0)</f>
        <v>0</v>
      </c>
      <c r="S404" s="159">
        <f>IF(S$2&lt;=analysis_period,IF(SUM($C718:S718)&gt;0,R404+1,0),0)</f>
        <v>0</v>
      </c>
      <c r="T404" s="159">
        <f>IF(T$2&lt;=analysis_period,IF(SUM($C718:T718)&gt;0,S404+1,0),0)</f>
        <v>0</v>
      </c>
      <c r="U404" s="159">
        <f>IF(U$2&lt;=analysis_period,IF(SUM($C718:U718)&gt;0,T404+1,0),0)</f>
        <v>0</v>
      </c>
      <c r="V404" s="159">
        <f>IF(V$2&lt;=analysis_period,IF(SUM($C718:V718)&gt;0,U404+1,0),0)</f>
        <v>0</v>
      </c>
      <c r="W404" s="159">
        <f>IF(W$2&lt;=analysis_period,IF(SUM($C718:W718)&gt;0,V404+1,0),0)</f>
        <v>0</v>
      </c>
      <c r="X404" s="159">
        <f>IF(X$2&lt;=analysis_period,IF(SUM($C718:X718)&gt;0,W404+1,0),0)</f>
        <v>0</v>
      </c>
      <c r="Y404" s="159">
        <f>IF(Y$2&lt;=analysis_period,IF(SUM($C718:Y718)&gt;0,X404+1,0),0)</f>
        <v>0</v>
      </c>
      <c r="Z404" s="159">
        <f>IF(Z$2&lt;=analysis_period,IF(SUM($C718:Z718)&gt;0,Y404+1,0),0)</f>
        <v>0</v>
      </c>
      <c r="AA404" s="159">
        <f>IF(AA$2&lt;=analysis_period,IF(SUM($C718:AA718)&gt;0,Z404+1,0),0)</f>
        <v>0</v>
      </c>
      <c r="AB404" s="159">
        <f>IF(AB$2&lt;=analysis_period,IF(SUM($C718:AB718)&gt;0,AA404+1,0),0)</f>
        <v>0</v>
      </c>
      <c r="AC404" s="159">
        <f>IF(AC$2&lt;=analysis_period,IF(SUM($C718:AC718)&gt;0,AB404+1,0),0)</f>
        <v>0</v>
      </c>
      <c r="AD404" s="159">
        <f>IF(AD$2&lt;=analysis_period,IF(SUM($C718:AD718)&gt;0,AC404+1,0),0)</f>
        <v>0</v>
      </c>
      <c r="AE404" s="159">
        <f>IF(AE$2&lt;=analysis_period,IF(SUM($C718:AE718)&gt;0,AD404+1,0),0)</f>
        <v>0</v>
      </c>
      <c r="AF404" s="159">
        <f>IF(AF$2&lt;=analysis_period,IF(SUM($C718:AF718)&gt;0,AE404+1,0),0)</f>
        <v>0</v>
      </c>
      <c r="AG404" s="159">
        <f>IF(AG$2&lt;=analysis_period,IF(SUM($C718:AG718)&gt;0,AF404+1,0),0)</f>
        <v>0</v>
      </c>
      <c r="AH404" s="159">
        <f>IF(AH$2&lt;=analysis_period,IF(SUM($C718:AH718)&gt;0,AG404+1,0),0)</f>
        <v>0</v>
      </c>
      <c r="AI404" s="159">
        <f>IF(AI$2&lt;=analysis_period,IF(SUM($C718:AI718)&gt;0,AH404+1,0),0)</f>
        <v>0</v>
      </c>
      <c r="AJ404" s="159">
        <f>IF(AJ$2&lt;=analysis_period,IF(SUM($C718:AJ718)&gt;0,AI404+1,0),0)</f>
        <v>0</v>
      </c>
      <c r="AK404" s="159">
        <f>IF(AK$2&lt;=analysis_period,IF(SUM($C718:AK718)&gt;0,AJ404+1,0),0)</f>
        <v>0</v>
      </c>
      <c r="AL404" s="159">
        <f>IF(AL$2&lt;=analysis_period,IF(SUM($C718:AL718)&gt;0,AK404+1,0),0)</f>
        <v>0</v>
      </c>
      <c r="AM404" s="159">
        <f>IF(AM$2&lt;=analysis_period,IF(SUM($C718:AM718)&gt;0,AL404+1,0),0)</f>
        <v>0</v>
      </c>
      <c r="AN404" s="159">
        <f>IF(AN$2&lt;=analysis_period,IF(SUM($C718:AN718)&gt;0,AM404+1,0),0)</f>
        <v>0</v>
      </c>
      <c r="AO404" s="159">
        <f>IF(AO$2&lt;=analysis_period,IF(SUM($C718:AO718)&gt;0,AN404+1,0),0)</f>
        <v>0</v>
      </c>
      <c r="AP404" s="159">
        <f>IF(AP$2&lt;=analysis_period,IF(SUM($C718:AP718)&gt;0,AO404+1,0),0)</f>
        <v>0</v>
      </c>
    </row>
    <row r="405" spans="1:42" x14ac:dyDescent="0.2">
      <c r="A405" s="4">
        <f t="shared" si="157"/>
        <v>8</v>
      </c>
      <c r="B405" s="4">
        <v>0</v>
      </c>
      <c r="C405" s="159">
        <f>IF(C$2&lt;=analysis_period,IF(SUM($C719:C719)&gt;0,B405+1,0),0)</f>
        <v>0</v>
      </c>
      <c r="D405" s="159">
        <f>IF(D$2&lt;=analysis_period,IF(SUM($C719:D719)&gt;0,C405+1,0),0)</f>
        <v>0</v>
      </c>
      <c r="E405" s="159">
        <f>IF(E$2&lt;=analysis_period,IF(SUM($C719:E719)&gt;0,D405+1,0),0)</f>
        <v>0</v>
      </c>
      <c r="F405" s="159">
        <f>IF(F$2&lt;=analysis_period,IF(SUM($C719:F719)&gt;0,E405+1,0),0)</f>
        <v>0</v>
      </c>
      <c r="G405" s="159">
        <f>IF(G$2&lt;=analysis_period,IF(SUM($C719:G719)&gt;0,F405+1,0),0)</f>
        <v>0</v>
      </c>
      <c r="H405" s="159">
        <f>IF(H$2&lt;=analysis_period,IF(SUM($C719:H719)&gt;0,G405+1,0),0)</f>
        <v>0</v>
      </c>
      <c r="I405" s="159">
        <f>IF(I$2&lt;=analysis_period,IF(SUM($C719:I719)&gt;0,H405+1,0),0)</f>
        <v>0</v>
      </c>
      <c r="J405" s="159">
        <f>IF(J$2&lt;=analysis_period,IF(SUM($C719:J719)&gt;0,I405+1,0),0)</f>
        <v>0</v>
      </c>
      <c r="K405" s="159">
        <f>IF(K$2&lt;=analysis_period,IF(SUM($C719:K719)&gt;0,J405+1,0),0)</f>
        <v>0</v>
      </c>
      <c r="L405" s="159">
        <f>IF(L$2&lt;=analysis_period,IF(SUM($C719:L719)&gt;0,K405+1,0),0)</f>
        <v>0</v>
      </c>
      <c r="M405" s="159">
        <f>IF(M$2&lt;=analysis_period,IF(SUM($C719:M719)&gt;0,L405+1,0),0)</f>
        <v>0</v>
      </c>
      <c r="N405" s="159">
        <f>IF(N$2&lt;=analysis_period,IF(SUM($C719:N719)&gt;0,M405+1,0),0)</f>
        <v>0</v>
      </c>
      <c r="O405" s="159">
        <f>IF(O$2&lt;=analysis_period,IF(SUM($C719:O719)&gt;0,N405+1,0),0)</f>
        <v>0</v>
      </c>
      <c r="P405" s="159">
        <f>IF(P$2&lt;=analysis_period,IF(SUM($C719:P719)&gt;0,O405+1,0),0)</f>
        <v>0</v>
      </c>
      <c r="Q405" s="159">
        <f>IF(Q$2&lt;=analysis_period,IF(SUM($C719:Q719)&gt;0,P405+1,0),0)</f>
        <v>0</v>
      </c>
      <c r="R405" s="159">
        <f>IF(R$2&lt;=analysis_period,IF(SUM($C719:R719)&gt;0,Q405+1,0),0)</f>
        <v>0</v>
      </c>
      <c r="S405" s="159">
        <f>IF(S$2&lt;=analysis_period,IF(SUM($C719:S719)&gt;0,R405+1,0),0)</f>
        <v>0</v>
      </c>
      <c r="T405" s="159">
        <f>IF(T$2&lt;=analysis_period,IF(SUM($C719:T719)&gt;0,S405+1,0),0)</f>
        <v>0</v>
      </c>
      <c r="U405" s="159">
        <f>IF(U$2&lt;=analysis_period,IF(SUM($C719:U719)&gt;0,T405+1,0),0)</f>
        <v>0</v>
      </c>
      <c r="V405" s="159">
        <f>IF(V$2&lt;=analysis_period,IF(SUM($C719:V719)&gt;0,U405+1,0),0)</f>
        <v>0</v>
      </c>
      <c r="W405" s="159">
        <f>IF(W$2&lt;=analysis_period,IF(SUM($C719:W719)&gt;0,V405+1,0),0)</f>
        <v>0</v>
      </c>
      <c r="X405" s="159">
        <f>IF(X$2&lt;=analysis_period,IF(SUM($C719:X719)&gt;0,W405+1,0),0)</f>
        <v>0</v>
      </c>
      <c r="Y405" s="159">
        <f>IF(Y$2&lt;=analysis_period,IF(SUM($C719:Y719)&gt;0,X405+1,0),0)</f>
        <v>0</v>
      </c>
      <c r="Z405" s="159">
        <f>IF(Z$2&lt;=analysis_period,IF(SUM($C719:Z719)&gt;0,Y405+1,0),0)</f>
        <v>0</v>
      </c>
      <c r="AA405" s="159">
        <f>IF(AA$2&lt;=analysis_period,IF(SUM($C719:AA719)&gt;0,Z405+1,0),0)</f>
        <v>0</v>
      </c>
      <c r="AB405" s="159">
        <f>IF(AB$2&lt;=analysis_period,IF(SUM($C719:AB719)&gt;0,AA405+1,0),0)</f>
        <v>0</v>
      </c>
      <c r="AC405" s="159">
        <f>IF(AC$2&lt;=analysis_period,IF(SUM($C719:AC719)&gt;0,AB405+1,0),0)</f>
        <v>0</v>
      </c>
      <c r="AD405" s="159">
        <f>IF(AD$2&lt;=analysis_period,IF(SUM($C719:AD719)&gt;0,AC405+1,0),0)</f>
        <v>0</v>
      </c>
      <c r="AE405" s="159">
        <f>IF(AE$2&lt;=analysis_period,IF(SUM($C719:AE719)&gt;0,AD405+1,0),0)</f>
        <v>0</v>
      </c>
      <c r="AF405" s="159">
        <f>IF(AF$2&lt;=analysis_period,IF(SUM($C719:AF719)&gt;0,AE405+1,0),0)</f>
        <v>0</v>
      </c>
      <c r="AG405" s="159">
        <f>IF(AG$2&lt;=analysis_period,IF(SUM($C719:AG719)&gt;0,AF405+1,0),0)</f>
        <v>0</v>
      </c>
      <c r="AH405" s="159">
        <f>IF(AH$2&lt;=analysis_period,IF(SUM($C719:AH719)&gt;0,AG405+1,0),0)</f>
        <v>0</v>
      </c>
      <c r="AI405" s="159">
        <f>IF(AI$2&lt;=analysis_period,IF(SUM($C719:AI719)&gt;0,AH405+1,0),0)</f>
        <v>0</v>
      </c>
      <c r="AJ405" s="159">
        <f>IF(AJ$2&lt;=analysis_period,IF(SUM($C719:AJ719)&gt;0,AI405+1,0),0)</f>
        <v>0</v>
      </c>
      <c r="AK405" s="159">
        <f>IF(AK$2&lt;=analysis_period,IF(SUM($C719:AK719)&gt;0,AJ405+1,0),0)</f>
        <v>0</v>
      </c>
      <c r="AL405" s="159">
        <f>IF(AL$2&lt;=analysis_period,IF(SUM($C719:AL719)&gt;0,AK405+1,0),0)</f>
        <v>0</v>
      </c>
      <c r="AM405" s="159">
        <f>IF(AM$2&lt;=analysis_period,IF(SUM($C719:AM719)&gt;0,AL405+1,0),0)</f>
        <v>0</v>
      </c>
      <c r="AN405" s="159">
        <f>IF(AN$2&lt;=analysis_period,IF(SUM($C719:AN719)&gt;0,AM405+1,0),0)</f>
        <v>0</v>
      </c>
      <c r="AO405" s="159">
        <f>IF(AO$2&lt;=analysis_period,IF(SUM($C719:AO719)&gt;0,AN405+1,0),0)</f>
        <v>0</v>
      </c>
      <c r="AP405" s="159">
        <f>IF(AP$2&lt;=analysis_period,IF(SUM($C719:AP719)&gt;0,AO405+1,0),0)</f>
        <v>0</v>
      </c>
    </row>
    <row r="406" spans="1:42" x14ac:dyDescent="0.2">
      <c r="A406" s="4">
        <f>A405+1</f>
        <v>9</v>
      </c>
      <c r="B406" s="4">
        <v>0</v>
      </c>
      <c r="C406" s="159">
        <f>IF(C$2&lt;=analysis_period,IF(SUM($C720:C720)&gt;0,B406+1,0),0)</f>
        <v>0</v>
      </c>
      <c r="D406" s="159">
        <f>IF(D$2&lt;=analysis_period,IF(SUM($C720:D720)&gt;0,C406+1,0),0)</f>
        <v>0</v>
      </c>
      <c r="E406" s="159">
        <f>IF(E$2&lt;=analysis_period,IF(SUM($C720:E720)&gt;0,D406+1,0),0)</f>
        <v>0</v>
      </c>
      <c r="F406" s="159">
        <f>IF(F$2&lt;=analysis_period,IF(SUM($C720:F720)&gt;0,E406+1,0),0)</f>
        <v>0</v>
      </c>
      <c r="G406" s="159">
        <f>IF(G$2&lt;=analysis_period,IF(SUM($C720:G720)&gt;0,F406+1,0),0)</f>
        <v>0</v>
      </c>
      <c r="H406" s="159">
        <f>IF(H$2&lt;=analysis_period,IF(SUM($C720:H720)&gt;0,G406+1,0),0)</f>
        <v>0</v>
      </c>
      <c r="I406" s="159">
        <f>IF(I$2&lt;=analysis_period,IF(SUM($C720:I720)&gt;0,H406+1,0),0)</f>
        <v>0</v>
      </c>
      <c r="J406" s="159">
        <f>IF(J$2&lt;=analysis_period,IF(SUM($C720:J720)&gt;0,I406+1,0),0)</f>
        <v>0</v>
      </c>
      <c r="K406" s="159">
        <f>IF(K$2&lt;=analysis_period,IF(SUM($C720:K720)&gt;0,J406+1,0),0)</f>
        <v>0</v>
      </c>
      <c r="L406" s="159">
        <f>IF(L$2&lt;=analysis_period,IF(SUM($C720:L720)&gt;0,K406+1,0),0)</f>
        <v>0</v>
      </c>
      <c r="M406" s="159">
        <f>IF(M$2&lt;=analysis_period,IF(SUM($C720:M720)&gt;0,L406+1,0),0)</f>
        <v>0</v>
      </c>
      <c r="N406" s="159">
        <f>IF(N$2&lt;=analysis_period,IF(SUM($C720:N720)&gt;0,M406+1,0),0)</f>
        <v>0</v>
      </c>
      <c r="O406" s="159">
        <f>IF(O$2&lt;=analysis_period,IF(SUM($C720:O720)&gt;0,N406+1,0),0)</f>
        <v>0</v>
      </c>
      <c r="P406" s="159">
        <f>IF(P$2&lt;=analysis_period,IF(SUM($C720:P720)&gt;0,O406+1,0),0)</f>
        <v>0</v>
      </c>
      <c r="Q406" s="159">
        <f>IF(Q$2&lt;=analysis_period,IF(SUM($C720:Q720)&gt;0,P406+1,0),0)</f>
        <v>0</v>
      </c>
      <c r="R406" s="159">
        <f>IF(R$2&lt;=analysis_period,IF(SUM($C720:R720)&gt;0,Q406+1,0),0)</f>
        <v>0</v>
      </c>
      <c r="S406" s="159">
        <f>IF(S$2&lt;=analysis_period,IF(SUM($C720:S720)&gt;0,R406+1,0),0)</f>
        <v>0</v>
      </c>
      <c r="T406" s="159">
        <f>IF(T$2&lt;=analysis_period,IF(SUM($C720:T720)&gt;0,S406+1,0),0)</f>
        <v>0</v>
      </c>
      <c r="U406" s="159">
        <f>IF(U$2&lt;=analysis_period,IF(SUM($C720:U720)&gt;0,T406+1,0),0)</f>
        <v>0</v>
      </c>
      <c r="V406" s="159">
        <f>IF(V$2&lt;=analysis_period,IF(SUM($C720:V720)&gt;0,U406+1,0),0)</f>
        <v>0</v>
      </c>
      <c r="W406" s="159">
        <f>IF(W$2&lt;=analysis_period,IF(SUM($C720:W720)&gt;0,V406+1,0),0)</f>
        <v>0</v>
      </c>
      <c r="X406" s="159">
        <f>IF(X$2&lt;=analysis_period,IF(SUM($C720:X720)&gt;0,W406+1,0),0)</f>
        <v>0</v>
      </c>
      <c r="Y406" s="159">
        <f>IF(Y$2&lt;=analysis_period,IF(SUM($C720:Y720)&gt;0,X406+1,0),0)</f>
        <v>0</v>
      </c>
      <c r="Z406" s="159">
        <f>IF(Z$2&lt;=analysis_period,IF(SUM($C720:Z720)&gt;0,Y406+1,0),0)</f>
        <v>0</v>
      </c>
      <c r="AA406" s="159">
        <f>IF(AA$2&lt;=analysis_period,IF(SUM($C720:AA720)&gt;0,Z406+1,0),0)</f>
        <v>0</v>
      </c>
      <c r="AB406" s="159">
        <f>IF(AB$2&lt;=analysis_period,IF(SUM($C720:AB720)&gt;0,AA406+1,0),0)</f>
        <v>0</v>
      </c>
      <c r="AC406" s="159">
        <f>IF(AC$2&lt;=analysis_period,IF(SUM($C720:AC720)&gt;0,AB406+1,0),0)</f>
        <v>0</v>
      </c>
      <c r="AD406" s="159">
        <f>IF(AD$2&lt;=analysis_period,IF(SUM($C720:AD720)&gt;0,AC406+1,0),0)</f>
        <v>0</v>
      </c>
      <c r="AE406" s="159">
        <f>IF(AE$2&lt;=analysis_period,IF(SUM($C720:AE720)&gt;0,AD406+1,0),0)</f>
        <v>0</v>
      </c>
      <c r="AF406" s="159">
        <f>IF(AF$2&lt;=analysis_period,IF(SUM($C720:AF720)&gt;0,AE406+1,0),0)</f>
        <v>0</v>
      </c>
      <c r="AG406" s="159">
        <f>IF(AG$2&lt;=analysis_period,IF(SUM($C720:AG720)&gt;0,AF406+1,0),0)</f>
        <v>0</v>
      </c>
      <c r="AH406" s="159">
        <f>IF(AH$2&lt;=analysis_period,IF(SUM($C720:AH720)&gt;0,AG406+1,0),0)</f>
        <v>0</v>
      </c>
      <c r="AI406" s="159">
        <f>IF(AI$2&lt;=analysis_period,IF(SUM($C720:AI720)&gt;0,AH406+1,0),0)</f>
        <v>0</v>
      </c>
      <c r="AJ406" s="159">
        <f>IF(AJ$2&lt;=analysis_period,IF(SUM($C720:AJ720)&gt;0,AI406+1,0),0)</f>
        <v>0</v>
      </c>
      <c r="AK406" s="159">
        <f>IF(AK$2&lt;=analysis_period,IF(SUM($C720:AK720)&gt;0,AJ406+1,0),0)</f>
        <v>0</v>
      </c>
      <c r="AL406" s="159">
        <f>IF(AL$2&lt;=analysis_period,IF(SUM($C720:AL720)&gt;0,AK406+1,0),0)</f>
        <v>0</v>
      </c>
      <c r="AM406" s="159">
        <f>IF(AM$2&lt;=analysis_period,IF(SUM($C720:AM720)&gt;0,AL406+1,0),0)</f>
        <v>0</v>
      </c>
      <c r="AN406" s="159">
        <f>IF(AN$2&lt;=analysis_period,IF(SUM($C720:AN720)&gt;0,AM406+1,0),0)</f>
        <v>0</v>
      </c>
      <c r="AO406" s="159">
        <f>IF(AO$2&lt;=analysis_period,IF(SUM($C720:AO720)&gt;0,AN406+1,0),0)</f>
        <v>0</v>
      </c>
      <c r="AP406" s="159">
        <f>IF(AP$2&lt;=analysis_period,IF(SUM($C720:AP720)&gt;0,AO406+1,0),0)</f>
        <v>0</v>
      </c>
    </row>
    <row r="407" spans="1:42" x14ac:dyDescent="0.2">
      <c r="A407" s="4">
        <f t="shared" si="157"/>
        <v>10</v>
      </c>
      <c r="B407" s="4">
        <v>0</v>
      </c>
      <c r="C407" s="159">
        <f>IF(C$2&lt;=analysis_period,IF(SUM($C721:C721)&gt;0,B407+1,0),0)</f>
        <v>0</v>
      </c>
      <c r="D407" s="159">
        <f>IF(D$2&lt;=analysis_period,IF(SUM($C721:D721)&gt;0,C407+1,0),0)</f>
        <v>0</v>
      </c>
      <c r="E407" s="159">
        <f>IF(E$2&lt;=analysis_period,IF(SUM($C721:E721)&gt;0,D407+1,0),0)</f>
        <v>0</v>
      </c>
      <c r="F407" s="159">
        <f>IF(F$2&lt;=analysis_period,IF(SUM($C721:F721)&gt;0,E407+1,0),0)</f>
        <v>0</v>
      </c>
      <c r="G407" s="159">
        <f>IF(G$2&lt;=analysis_period,IF(SUM($C721:G721)&gt;0,F407+1,0),0)</f>
        <v>0</v>
      </c>
      <c r="H407" s="159">
        <f>IF(H$2&lt;=analysis_period,IF(SUM($C721:H721)&gt;0,G407+1,0),0)</f>
        <v>0</v>
      </c>
      <c r="I407" s="159">
        <f>IF(I$2&lt;=analysis_period,IF(SUM($C721:I721)&gt;0,H407+1,0),0)</f>
        <v>0</v>
      </c>
      <c r="J407" s="159">
        <f>IF(J$2&lt;=analysis_period,IF(SUM($C721:J721)&gt;0,I407+1,0),0)</f>
        <v>0</v>
      </c>
      <c r="K407" s="159">
        <f>IF(K$2&lt;=analysis_period,IF(SUM($C721:K721)&gt;0,J407+1,0),0)</f>
        <v>0</v>
      </c>
      <c r="L407" s="159">
        <f>IF(L$2&lt;=analysis_period,IF(SUM($C721:L721)&gt;0,K407+1,0),0)</f>
        <v>0</v>
      </c>
      <c r="M407" s="159">
        <f>IF(M$2&lt;=analysis_period,IF(SUM($C721:M721)&gt;0,L407+1,0),0)</f>
        <v>0</v>
      </c>
      <c r="N407" s="159">
        <f>IF(N$2&lt;=analysis_period,IF(SUM($C721:N721)&gt;0,M407+1,0),0)</f>
        <v>0</v>
      </c>
      <c r="O407" s="159">
        <f>IF(O$2&lt;=analysis_period,IF(SUM($C721:O721)&gt;0,N407+1,0),0)</f>
        <v>0</v>
      </c>
      <c r="P407" s="159">
        <f>IF(P$2&lt;=analysis_period,IF(SUM($C721:P721)&gt;0,O407+1,0),0)</f>
        <v>0</v>
      </c>
      <c r="Q407" s="159">
        <f>IF(Q$2&lt;=analysis_period,IF(SUM($C721:Q721)&gt;0,P407+1,0),0)</f>
        <v>0</v>
      </c>
      <c r="R407" s="159">
        <f>IF(R$2&lt;=analysis_period,IF(SUM($C721:R721)&gt;0,Q407+1,0),0)</f>
        <v>0</v>
      </c>
      <c r="S407" s="159">
        <f>IF(S$2&lt;=analysis_period,IF(SUM($C721:S721)&gt;0,R407+1,0),0)</f>
        <v>0</v>
      </c>
      <c r="T407" s="159">
        <f>IF(T$2&lt;=analysis_period,IF(SUM($C721:T721)&gt;0,S407+1,0),0)</f>
        <v>0</v>
      </c>
      <c r="U407" s="159">
        <f>IF(U$2&lt;=analysis_period,IF(SUM($C721:U721)&gt;0,T407+1,0),0)</f>
        <v>0</v>
      </c>
      <c r="V407" s="159">
        <f>IF(V$2&lt;=analysis_period,IF(SUM($C721:V721)&gt;0,U407+1,0),0)</f>
        <v>0</v>
      </c>
      <c r="W407" s="159">
        <f>IF(W$2&lt;=analysis_period,IF(SUM($C721:W721)&gt;0,V407+1,0),0)</f>
        <v>0</v>
      </c>
      <c r="X407" s="159">
        <f>IF(X$2&lt;=analysis_period,IF(SUM($C721:X721)&gt;0,W407+1,0),0)</f>
        <v>0</v>
      </c>
      <c r="Y407" s="159">
        <f>IF(Y$2&lt;=analysis_period,IF(SUM($C721:Y721)&gt;0,X407+1,0),0)</f>
        <v>0</v>
      </c>
      <c r="Z407" s="159">
        <f>IF(Z$2&lt;=analysis_period,IF(SUM($C721:Z721)&gt;0,Y407+1,0),0)</f>
        <v>0</v>
      </c>
      <c r="AA407" s="159">
        <f>IF(AA$2&lt;=analysis_period,IF(SUM($C721:AA721)&gt;0,Z407+1,0),0)</f>
        <v>0</v>
      </c>
      <c r="AB407" s="159">
        <f>IF(AB$2&lt;=analysis_period,IF(SUM($C721:AB721)&gt;0,AA407+1,0),0)</f>
        <v>0</v>
      </c>
      <c r="AC407" s="159">
        <f>IF(AC$2&lt;=analysis_period,IF(SUM($C721:AC721)&gt;0,AB407+1,0),0)</f>
        <v>0</v>
      </c>
      <c r="AD407" s="159">
        <f>IF(AD$2&lt;=analysis_period,IF(SUM($C721:AD721)&gt;0,AC407+1,0),0)</f>
        <v>0</v>
      </c>
      <c r="AE407" s="159">
        <f>IF(AE$2&lt;=analysis_period,IF(SUM($C721:AE721)&gt;0,AD407+1,0),0)</f>
        <v>0</v>
      </c>
      <c r="AF407" s="159">
        <f>IF(AF$2&lt;=analysis_period,IF(SUM($C721:AF721)&gt;0,AE407+1,0),0)</f>
        <v>0</v>
      </c>
      <c r="AG407" s="159">
        <f>IF(AG$2&lt;=analysis_period,IF(SUM($C721:AG721)&gt;0,AF407+1,0),0)</f>
        <v>0</v>
      </c>
      <c r="AH407" s="159">
        <f>IF(AH$2&lt;=analysis_period,IF(SUM($C721:AH721)&gt;0,AG407+1,0),0)</f>
        <v>0</v>
      </c>
      <c r="AI407" s="159">
        <f>IF(AI$2&lt;=analysis_period,IF(SUM($C721:AI721)&gt;0,AH407+1,0),0)</f>
        <v>0</v>
      </c>
      <c r="AJ407" s="159">
        <f>IF(AJ$2&lt;=analysis_period,IF(SUM($C721:AJ721)&gt;0,AI407+1,0),0)</f>
        <v>0</v>
      </c>
      <c r="AK407" s="159">
        <f>IF(AK$2&lt;=analysis_period,IF(SUM($C721:AK721)&gt;0,AJ407+1,0),0)</f>
        <v>0</v>
      </c>
      <c r="AL407" s="159">
        <f>IF(AL$2&lt;=analysis_period,IF(SUM($C721:AL721)&gt;0,AK407+1,0),0)</f>
        <v>0</v>
      </c>
      <c r="AM407" s="159">
        <f>IF(AM$2&lt;=analysis_period,IF(SUM($C721:AM721)&gt;0,AL407+1,0),0)</f>
        <v>0</v>
      </c>
      <c r="AN407" s="159">
        <f>IF(AN$2&lt;=analysis_period,IF(SUM($C721:AN721)&gt;0,AM407+1,0),0)</f>
        <v>0</v>
      </c>
      <c r="AO407" s="159">
        <f>IF(AO$2&lt;=analysis_period,IF(SUM($C721:AO721)&gt;0,AN407+1,0),0)</f>
        <v>0</v>
      </c>
      <c r="AP407" s="159">
        <f>IF(AP$2&lt;=analysis_period,IF(SUM($C721:AP721)&gt;0,AO407+1,0),0)</f>
        <v>0</v>
      </c>
    </row>
    <row r="408" spans="1:42" x14ac:dyDescent="0.2">
      <c r="A408" s="22"/>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row>
    <row r="409" spans="1:42" x14ac:dyDescent="0.2">
      <c r="A409" s="22" t="s">
        <v>66</v>
      </c>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row>
    <row r="410" spans="1:42" x14ac:dyDescent="0.2">
      <c r="A410" s="4">
        <v>1</v>
      </c>
      <c r="B410" s="176">
        <f t="shared" ref="B410:B419" si="158">SUM(C410:AP410)</f>
        <v>0</v>
      </c>
      <c r="C410" s="178">
        <f t="shared" ref="C410:AP410" si="159">LOOKUP(C398,$B$368:$AP$368,$B$369:$AP$369)/100*$B712</f>
        <v>0</v>
      </c>
      <c r="D410" s="159">
        <f t="shared" si="159"/>
        <v>0</v>
      </c>
      <c r="E410" s="159">
        <f t="shared" si="159"/>
        <v>0</v>
      </c>
      <c r="F410" s="159">
        <f t="shared" si="159"/>
        <v>0</v>
      </c>
      <c r="G410" s="159">
        <f t="shared" si="159"/>
        <v>0</v>
      </c>
      <c r="H410" s="159">
        <f t="shared" si="159"/>
        <v>0</v>
      </c>
      <c r="I410" s="159">
        <f t="shared" si="159"/>
        <v>0</v>
      </c>
      <c r="J410" s="159">
        <f t="shared" si="159"/>
        <v>0</v>
      </c>
      <c r="K410" s="159">
        <f t="shared" si="159"/>
        <v>0</v>
      </c>
      <c r="L410" s="159">
        <f t="shared" si="159"/>
        <v>0</v>
      </c>
      <c r="M410" s="159">
        <f t="shared" si="159"/>
        <v>0</v>
      </c>
      <c r="N410" s="159">
        <f t="shared" si="159"/>
        <v>0</v>
      </c>
      <c r="O410" s="159">
        <f t="shared" si="159"/>
        <v>0</v>
      </c>
      <c r="P410" s="159">
        <f t="shared" si="159"/>
        <v>0</v>
      </c>
      <c r="Q410" s="159">
        <f t="shared" si="159"/>
        <v>0</v>
      </c>
      <c r="R410" s="159">
        <f t="shared" si="159"/>
        <v>0</v>
      </c>
      <c r="S410" s="159">
        <f t="shared" si="159"/>
        <v>0</v>
      </c>
      <c r="T410" s="159">
        <f t="shared" si="159"/>
        <v>0</v>
      </c>
      <c r="U410" s="159">
        <f t="shared" si="159"/>
        <v>0</v>
      </c>
      <c r="V410" s="159">
        <f t="shared" si="159"/>
        <v>0</v>
      </c>
      <c r="W410" s="159">
        <f t="shared" si="159"/>
        <v>0</v>
      </c>
      <c r="X410" s="159">
        <f t="shared" si="159"/>
        <v>0</v>
      </c>
      <c r="Y410" s="159">
        <f t="shared" si="159"/>
        <v>0</v>
      </c>
      <c r="Z410" s="159">
        <f t="shared" si="159"/>
        <v>0</v>
      </c>
      <c r="AA410" s="159">
        <f t="shared" si="159"/>
        <v>0</v>
      </c>
      <c r="AB410" s="159">
        <f t="shared" si="159"/>
        <v>0</v>
      </c>
      <c r="AC410" s="159">
        <f t="shared" si="159"/>
        <v>0</v>
      </c>
      <c r="AD410" s="159">
        <f t="shared" si="159"/>
        <v>0</v>
      </c>
      <c r="AE410" s="159">
        <f t="shared" si="159"/>
        <v>0</v>
      </c>
      <c r="AF410" s="159">
        <f t="shared" si="159"/>
        <v>0</v>
      </c>
      <c r="AG410" s="159">
        <f t="shared" si="159"/>
        <v>0</v>
      </c>
      <c r="AH410" s="159">
        <f t="shared" si="159"/>
        <v>0</v>
      </c>
      <c r="AI410" s="159">
        <f t="shared" si="159"/>
        <v>0</v>
      </c>
      <c r="AJ410" s="159">
        <f t="shared" si="159"/>
        <v>0</v>
      </c>
      <c r="AK410" s="159">
        <f t="shared" si="159"/>
        <v>0</v>
      </c>
      <c r="AL410" s="159">
        <f t="shared" si="159"/>
        <v>0</v>
      </c>
      <c r="AM410" s="159">
        <f t="shared" si="159"/>
        <v>0</v>
      </c>
      <c r="AN410" s="159">
        <f t="shared" si="159"/>
        <v>0</v>
      </c>
      <c r="AO410" s="159">
        <f t="shared" si="159"/>
        <v>0</v>
      </c>
      <c r="AP410" s="159">
        <f t="shared" si="159"/>
        <v>0</v>
      </c>
    </row>
    <row r="411" spans="1:42" x14ac:dyDescent="0.2">
      <c r="A411" s="4">
        <f>A410+1</f>
        <v>2</v>
      </c>
      <c r="B411" s="176">
        <f t="shared" si="158"/>
        <v>0</v>
      </c>
      <c r="C411" s="178">
        <f t="shared" ref="C411:AP411" si="160">LOOKUP(C399,$B$368:$AP$368,$B$369:$AP$369)/100*$B713</f>
        <v>0</v>
      </c>
      <c r="D411" s="159">
        <f t="shared" si="160"/>
        <v>0</v>
      </c>
      <c r="E411" s="159">
        <f t="shared" si="160"/>
        <v>0</v>
      </c>
      <c r="F411" s="159">
        <f t="shared" si="160"/>
        <v>0</v>
      </c>
      <c r="G411" s="159">
        <f t="shared" si="160"/>
        <v>0</v>
      </c>
      <c r="H411" s="159">
        <f t="shared" si="160"/>
        <v>0</v>
      </c>
      <c r="I411" s="159">
        <f t="shared" si="160"/>
        <v>0</v>
      </c>
      <c r="J411" s="159">
        <f t="shared" si="160"/>
        <v>0</v>
      </c>
      <c r="K411" s="159">
        <f t="shared" si="160"/>
        <v>0</v>
      </c>
      <c r="L411" s="159">
        <f t="shared" si="160"/>
        <v>0</v>
      </c>
      <c r="M411" s="159">
        <f t="shared" si="160"/>
        <v>0</v>
      </c>
      <c r="N411" s="159">
        <f t="shared" si="160"/>
        <v>0</v>
      </c>
      <c r="O411" s="159">
        <f t="shared" si="160"/>
        <v>0</v>
      </c>
      <c r="P411" s="159">
        <f t="shared" si="160"/>
        <v>0</v>
      </c>
      <c r="Q411" s="159">
        <f t="shared" si="160"/>
        <v>0</v>
      </c>
      <c r="R411" s="159">
        <f t="shared" si="160"/>
        <v>0</v>
      </c>
      <c r="S411" s="159">
        <f t="shared" si="160"/>
        <v>0</v>
      </c>
      <c r="T411" s="159">
        <f t="shared" si="160"/>
        <v>0</v>
      </c>
      <c r="U411" s="159">
        <f t="shared" si="160"/>
        <v>0</v>
      </c>
      <c r="V411" s="159">
        <f t="shared" si="160"/>
        <v>0</v>
      </c>
      <c r="W411" s="159">
        <f t="shared" si="160"/>
        <v>0</v>
      </c>
      <c r="X411" s="159">
        <f t="shared" si="160"/>
        <v>0</v>
      </c>
      <c r="Y411" s="159">
        <f t="shared" si="160"/>
        <v>0</v>
      </c>
      <c r="Z411" s="159">
        <f t="shared" si="160"/>
        <v>0</v>
      </c>
      <c r="AA411" s="159">
        <f t="shared" si="160"/>
        <v>0</v>
      </c>
      <c r="AB411" s="159">
        <f t="shared" si="160"/>
        <v>0</v>
      </c>
      <c r="AC411" s="159">
        <f t="shared" si="160"/>
        <v>0</v>
      </c>
      <c r="AD411" s="159">
        <f t="shared" si="160"/>
        <v>0</v>
      </c>
      <c r="AE411" s="159">
        <f t="shared" si="160"/>
        <v>0</v>
      </c>
      <c r="AF411" s="159">
        <f t="shared" si="160"/>
        <v>0</v>
      </c>
      <c r="AG411" s="159">
        <f t="shared" si="160"/>
        <v>0</v>
      </c>
      <c r="AH411" s="159">
        <f t="shared" si="160"/>
        <v>0</v>
      </c>
      <c r="AI411" s="159">
        <f t="shared" si="160"/>
        <v>0</v>
      </c>
      <c r="AJ411" s="159">
        <f t="shared" si="160"/>
        <v>0</v>
      </c>
      <c r="AK411" s="159">
        <f t="shared" si="160"/>
        <v>0</v>
      </c>
      <c r="AL411" s="159">
        <f t="shared" si="160"/>
        <v>0</v>
      </c>
      <c r="AM411" s="159">
        <f t="shared" si="160"/>
        <v>0</v>
      </c>
      <c r="AN411" s="159">
        <f t="shared" si="160"/>
        <v>0</v>
      </c>
      <c r="AO411" s="159">
        <f t="shared" si="160"/>
        <v>0</v>
      </c>
      <c r="AP411" s="159">
        <f t="shared" si="160"/>
        <v>0</v>
      </c>
    </row>
    <row r="412" spans="1:42" x14ac:dyDescent="0.2">
      <c r="A412" s="4">
        <f t="shared" ref="A412:A419" si="161">A411+1</f>
        <v>3</v>
      </c>
      <c r="B412" s="176">
        <f t="shared" si="158"/>
        <v>0</v>
      </c>
      <c r="C412" s="178">
        <f t="shared" ref="C412:AP412" si="162">LOOKUP(C400,$B$368:$AP$368,$B$369:$AP$369)/100*$B714</f>
        <v>0</v>
      </c>
      <c r="D412" s="159">
        <f t="shared" si="162"/>
        <v>0</v>
      </c>
      <c r="E412" s="159">
        <f t="shared" si="162"/>
        <v>0</v>
      </c>
      <c r="F412" s="159">
        <f t="shared" si="162"/>
        <v>0</v>
      </c>
      <c r="G412" s="159">
        <f t="shared" si="162"/>
        <v>0</v>
      </c>
      <c r="H412" s="159">
        <f t="shared" si="162"/>
        <v>0</v>
      </c>
      <c r="I412" s="159">
        <f t="shared" si="162"/>
        <v>0</v>
      </c>
      <c r="J412" s="159">
        <f t="shared" si="162"/>
        <v>0</v>
      </c>
      <c r="K412" s="159">
        <f t="shared" si="162"/>
        <v>0</v>
      </c>
      <c r="L412" s="159">
        <f t="shared" si="162"/>
        <v>0</v>
      </c>
      <c r="M412" s="159">
        <f t="shared" si="162"/>
        <v>0</v>
      </c>
      <c r="N412" s="159">
        <f t="shared" si="162"/>
        <v>0</v>
      </c>
      <c r="O412" s="159">
        <f t="shared" si="162"/>
        <v>0</v>
      </c>
      <c r="P412" s="159">
        <f t="shared" si="162"/>
        <v>0</v>
      </c>
      <c r="Q412" s="159">
        <f t="shared" si="162"/>
        <v>0</v>
      </c>
      <c r="R412" s="159">
        <f t="shared" si="162"/>
        <v>0</v>
      </c>
      <c r="S412" s="159">
        <f t="shared" si="162"/>
        <v>0</v>
      </c>
      <c r="T412" s="159">
        <f t="shared" si="162"/>
        <v>0</v>
      </c>
      <c r="U412" s="159">
        <f t="shared" si="162"/>
        <v>0</v>
      </c>
      <c r="V412" s="159">
        <f t="shared" si="162"/>
        <v>0</v>
      </c>
      <c r="W412" s="159">
        <f t="shared" si="162"/>
        <v>0</v>
      </c>
      <c r="X412" s="159">
        <f t="shared" si="162"/>
        <v>0</v>
      </c>
      <c r="Y412" s="159">
        <f t="shared" si="162"/>
        <v>0</v>
      </c>
      <c r="Z412" s="159">
        <f t="shared" si="162"/>
        <v>0</v>
      </c>
      <c r="AA412" s="159">
        <f t="shared" si="162"/>
        <v>0</v>
      </c>
      <c r="AB412" s="159">
        <f t="shared" si="162"/>
        <v>0</v>
      </c>
      <c r="AC412" s="159">
        <f t="shared" si="162"/>
        <v>0</v>
      </c>
      <c r="AD412" s="159">
        <f t="shared" si="162"/>
        <v>0</v>
      </c>
      <c r="AE412" s="159">
        <f t="shared" si="162"/>
        <v>0</v>
      </c>
      <c r="AF412" s="159">
        <f t="shared" si="162"/>
        <v>0</v>
      </c>
      <c r="AG412" s="159">
        <f t="shared" si="162"/>
        <v>0</v>
      </c>
      <c r="AH412" s="159">
        <f t="shared" si="162"/>
        <v>0</v>
      </c>
      <c r="AI412" s="159">
        <f t="shared" si="162"/>
        <v>0</v>
      </c>
      <c r="AJ412" s="159">
        <f t="shared" si="162"/>
        <v>0</v>
      </c>
      <c r="AK412" s="159">
        <f t="shared" si="162"/>
        <v>0</v>
      </c>
      <c r="AL412" s="159">
        <f t="shared" si="162"/>
        <v>0</v>
      </c>
      <c r="AM412" s="159">
        <f t="shared" si="162"/>
        <v>0</v>
      </c>
      <c r="AN412" s="159">
        <f t="shared" si="162"/>
        <v>0</v>
      </c>
      <c r="AO412" s="159">
        <f t="shared" si="162"/>
        <v>0</v>
      </c>
      <c r="AP412" s="159">
        <f t="shared" si="162"/>
        <v>0</v>
      </c>
    </row>
    <row r="413" spans="1:42" x14ac:dyDescent="0.2">
      <c r="A413" s="4">
        <f t="shared" si="161"/>
        <v>4</v>
      </c>
      <c r="B413" s="176">
        <f t="shared" si="158"/>
        <v>0</v>
      </c>
      <c r="C413" s="178">
        <f t="shared" ref="C413:AP413" si="163">LOOKUP(C401,$B$368:$AP$368,$B$369:$AP$369)/100*$B715</f>
        <v>0</v>
      </c>
      <c r="D413" s="159">
        <f t="shared" si="163"/>
        <v>0</v>
      </c>
      <c r="E413" s="159">
        <f t="shared" si="163"/>
        <v>0</v>
      </c>
      <c r="F413" s="159">
        <f t="shared" si="163"/>
        <v>0</v>
      </c>
      <c r="G413" s="159">
        <f t="shared" si="163"/>
        <v>0</v>
      </c>
      <c r="H413" s="159">
        <f t="shared" si="163"/>
        <v>0</v>
      </c>
      <c r="I413" s="159">
        <f t="shared" si="163"/>
        <v>0</v>
      </c>
      <c r="J413" s="159">
        <f t="shared" si="163"/>
        <v>0</v>
      </c>
      <c r="K413" s="159">
        <f t="shared" si="163"/>
        <v>0</v>
      </c>
      <c r="L413" s="159">
        <f t="shared" si="163"/>
        <v>0</v>
      </c>
      <c r="M413" s="159">
        <f t="shared" si="163"/>
        <v>0</v>
      </c>
      <c r="N413" s="159">
        <f t="shared" si="163"/>
        <v>0</v>
      </c>
      <c r="O413" s="159">
        <f t="shared" si="163"/>
        <v>0</v>
      </c>
      <c r="P413" s="159">
        <f t="shared" si="163"/>
        <v>0</v>
      </c>
      <c r="Q413" s="159">
        <f t="shared" si="163"/>
        <v>0</v>
      </c>
      <c r="R413" s="159">
        <f t="shared" si="163"/>
        <v>0</v>
      </c>
      <c r="S413" s="159">
        <f t="shared" si="163"/>
        <v>0</v>
      </c>
      <c r="T413" s="159">
        <f t="shared" si="163"/>
        <v>0</v>
      </c>
      <c r="U413" s="159">
        <f t="shared" si="163"/>
        <v>0</v>
      </c>
      <c r="V413" s="159">
        <f t="shared" si="163"/>
        <v>0</v>
      </c>
      <c r="W413" s="159">
        <f t="shared" si="163"/>
        <v>0</v>
      </c>
      <c r="X413" s="159">
        <f t="shared" si="163"/>
        <v>0</v>
      </c>
      <c r="Y413" s="159">
        <f t="shared" si="163"/>
        <v>0</v>
      </c>
      <c r="Z413" s="159">
        <f t="shared" si="163"/>
        <v>0</v>
      </c>
      <c r="AA413" s="159">
        <f t="shared" si="163"/>
        <v>0</v>
      </c>
      <c r="AB413" s="159">
        <f t="shared" si="163"/>
        <v>0</v>
      </c>
      <c r="AC413" s="159">
        <f t="shared" si="163"/>
        <v>0</v>
      </c>
      <c r="AD413" s="159">
        <f t="shared" si="163"/>
        <v>0</v>
      </c>
      <c r="AE413" s="159">
        <f t="shared" si="163"/>
        <v>0</v>
      </c>
      <c r="AF413" s="159">
        <f t="shared" si="163"/>
        <v>0</v>
      </c>
      <c r="AG413" s="159">
        <f t="shared" si="163"/>
        <v>0</v>
      </c>
      <c r="AH413" s="159">
        <f t="shared" si="163"/>
        <v>0</v>
      </c>
      <c r="AI413" s="159">
        <f t="shared" si="163"/>
        <v>0</v>
      </c>
      <c r="AJ413" s="159">
        <f t="shared" si="163"/>
        <v>0</v>
      </c>
      <c r="AK413" s="159">
        <f t="shared" si="163"/>
        <v>0</v>
      </c>
      <c r="AL413" s="159">
        <f t="shared" si="163"/>
        <v>0</v>
      </c>
      <c r="AM413" s="159">
        <f t="shared" si="163"/>
        <v>0</v>
      </c>
      <c r="AN413" s="159">
        <f t="shared" si="163"/>
        <v>0</v>
      </c>
      <c r="AO413" s="159">
        <f t="shared" si="163"/>
        <v>0</v>
      </c>
      <c r="AP413" s="159">
        <f t="shared" si="163"/>
        <v>0</v>
      </c>
    </row>
    <row r="414" spans="1:42" x14ac:dyDescent="0.2">
      <c r="A414" s="4">
        <f t="shared" si="161"/>
        <v>5</v>
      </c>
      <c r="B414" s="176">
        <f t="shared" si="158"/>
        <v>0</v>
      </c>
      <c r="C414" s="178">
        <f t="shared" ref="C414:AP414" si="164">LOOKUP(C402,$B$368:$AP$368,$B$369:$AP$369)/100*$B716</f>
        <v>0</v>
      </c>
      <c r="D414" s="159">
        <f t="shared" si="164"/>
        <v>0</v>
      </c>
      <c r="E414" s="159">
        <f t="shared" si="164"/>
        <v>0</v>
      </c>
      <c r="F414" s="159">
        <f t="shared" si="164"/>
        <v>0</v>
      </c>
      <c r="G414" s="159">
        <f t="shared" si="164"/>
        <v>0</v>
      </c>
      <c r="H414" s="159">
        <f t="shared" si="164"/>
        <v>0</v>
      </c>
      <c r="I414" s="159">
        <f t="shared" si="164"/>
        <v>0</v>
      </c>
      <c r="J414" s="159">
        <f t="shared" si="164"/>
        <v>0</v>
      </c>
      <c r="K414" s="159">
        <f t="shared" si="164"/>
        <v>0</v>
      </c>
      <c r="L414" s="159">
        <f t="shared" si="164"/>
        <v>0</v>
      </c>
      <c r="M414" s="159">
        <f t="shared" si="164"/>
        <v>0</v>
      </c>
      <c r="N414" s="159">
        <f t="shared" si="164"/>
        <v>0</v>
      </c>
      <c r="O414" s="159">
        <f t="shared" si="164"/>
        <v>0</v>
      </c>
      <c r="P414" s="159">
        <f t="shared" si="164"/>
        <v>0</v>
      </c>
      <c r="Q414" s="159">
        <f t="shared" si="164"/>
        <v>0</v>
      </c>
      <c r="R414" s="159">
        <f t="shared" si="164"/>
        <v>0</v>
      </c>
      <c r="S414" s="159">
        <f t="shared" si="164"/>
        <v>0</v>
      </c>
      <c r="T414" s="159">
        <f t="shared" si="164"/>
        <v>0</v>
      </c>
      <c r="U414" s="159">
        <f t="shared" si="164"/>
        <v>0</v>
      </c>
      <c r="V414" s="159">
        <f t="shared" si="164"/>
        <v>0</v>
      </c>
      <c r="W414" s="159">
        <f t="shared" si="164"/>
        <v>0</v>
      </c>
      <c r="X414" s="159">
        <f t="shared" si="164"/>
        <v>0</v>
      </c>
      <c r="Y414" s="159">
        <f t="shared" si="164"/>
        <v>0</v>
      </c>
      <c r="Z414" s="159">
        <f t="shared" si="164"/>
        <v>0</v>
      </c>
      <c r="AA414" s="159">
        <f t="shared" si="164"/>
        <v>0</v>
      </c>
      <c r="AB414" s="159">
        <f t="shared" si="164"/>
        <v>0</v>
      </c>
      <c r="AC414" s="159">
        <f t="shared" si="164"/>
        <v>0</v>
      </c>
      <c r="AD414" s="159">
        <f t="shared" si="164"/>
        <v>0</v>
      </c>
      <c r="AE414" s="159">
        <f t="shared" si="164"/>
        <v>0</v>
      </c>
      <c r="AF414" s="159">
        <f t="shared" si="164"/>
        <v>0</v>
      </c>
      <c r="AG414" s="159">
        <f t="shared" si="164"/>
        <v>0</v>
      </c>
      <c r="AH414" s="159">
        <f t="shared" si="164"/>
        <v>0</v>
      </c>
      <c r="AI414" s="159">
        <f t="shared" si="164"/>
        <v>0</v>
      </c>
      <c r="AJ414" s="159">
        <f t="shared" si="164"/>
        <v>0</v>
      </c>
      <c r="AK414" s="159">
        <f t="shared" si="164"/>
        <v>0</v>
      </c>
      <c r="AL414" s="159">
        <f t="shared" si="164"/>
        <v>0</v>
      </c>
      <c r="AM414" s="159">
        <f t="shared" si="164"/>
        <v>0</v>
      </c>
      <c r="AN414" s="159">
        <f t="shared" si="164"/>
        <v>0</v>
      </c>
      <c r="AO414" s="159">
        <f t="shared" si="164"/>
        <v>0</v>
      </c>
      <c r="AP414" s="159">
        <f t="shared" si="164"/>
        <v>0</v>
      </c>
    </row>
    <row r="415" spans="1:42" x14ac:dyDescent="0.2">
      <c r="A415" s="4">
        <f t="shared" si="161"/>
        <v>6</v>
      </c>
      <c r="B415" s="176">
        <f t="shared" si="158"/>
        <v>0</v>
      </c>
      <c r="C415" s="178">
        <f t="shared" ref="C415:AP415" si="165">LOOKUP(C403,$B$368:$AP$368,$B$369:$AP$369)/100*$B717</f>
        <v>0</v>
      </c>
      <c r="D415" s="159">
        <f t="shared" si="165"/>
        <v>0</v>
      </c>
      <c r="E415" s="159">
        <f t="shared" si="165"/>
        <v>0</v>
      </c>
      <c r="F415" s="159">
        <f t="shared" si="165"/>
        <v>0</v>
      </c>
      <c r="G415" s="159">
        <f t="shared" si="165"/>
        <v>0</v>
      </c>
      <c r="H415" s="159">
        <f t="shared" si="165"/>
        <v>0</v>
      </c>
      <c r="I415" s="159">
        <f t="shared" si="165"/>
        <v>0</v>
      </c>
      <c r="J415" s="159">
        <f t="shared" si="165"/>
        <v>0</v>
      </c>
      <c r="K415" s="159">
        <f t="shared" si="165"/>
        <v>0</v>
      </c>
      <c r="L415" s="159">
        <f t="shared" si="165"/>
        <v>0</v>
      </c>
      <c r="M415" s="159">
        <f t="shared" si="165"/>
        <v>0</v>
      </c>
      <c r="N415" s="159">
        <f t="shared" si="165"/>
        <v>0</v>
      </c>
      <c r="O415" s="159">
        <f t="shared" si="165"/>
        <v>0</v>
      </c>
      <c r="P415" s="159">
        <f t="shared" si="165"/>
        <v>0</v>
      </c>
      <c r="Q415" s="159">
        <f t="shared" si="165"/>
        <v>0</v>
      </c>
      <c r="R415" s="159">
        <f t="shared" si="165"/>
        <v>0</v>
      </c>
      <c r="S415" s="159">
        <f t="shared" si="165"/>
        <v>0</v>
      </c>
      <c r="T415" s="159">
        <f t="shared" si="165"/>
        <v>0</v>
      </c>
      <c r="U415" s="159">
        <f t="shared" si="165"/>
        <v>0</v>
      </c>
      <c r="V415" s="159">
        <f t="shared" si="165"/>
        <v>0</v>
      </c>
      <c r="W415" s="159">
        <f t="shared" si="165"/>
        <v>0</v>
      </c>
      <c r="X415" s="159">
        <f t="shared" si="165"/>
        <v>0</v>
      </c>
      <c r="Y415" s="159">
        <f t="shared" si="165"/>
        <v>0</v>
      </c>
      <c r="Z415" s="159">
        <f t="shared" si="165"/>
        <v>0</v>
      </c>
      <c r="AA415" s="159">
        <f t="shared" si="165"/>
        <v>0</v>
      </c>
      <c r="AB415" s="159">
        <f t="shared" si="165"/>
        <v>0</v>
      </c>
      <c r="AC415" s="159">
        <f t="shared" si="165"/>
        <v>0</v>
      </c>
      <c r="AD415" s="159">
        <f t="shared" si="165"/>
        <v>0</v>
      </c>
      <c r="AE415" s="159">
        <f t="shared" si="165"/>
        <v>0</v>
      </c>
      <c r="AF415" s="159">
        <f t="shared" si="165"/>
        <v>0</v>
      </c>
      <c r="AG415" s="159">
        <f t="shared" si="165"/>
        <v>0</v>
      </c>
      <c r="AH415" s="159">
        <f t="shared" si="165"/>
        <v>0</v>
      </c>
      <c r="AI415" s="159">
        <f t="shared" si="165"/>
        <v>0</v>
      </c>
      <c r="AJ415" s="159">
        <f t="shared" si="165"/>
        <v>0</v>
      </c>
      <c r="AK415" s="159">
        <f t="shared" si="165"/>
        <v>0</v>
      </c>
      <c r="AL415" s="159">
        <f t="shared" si="165"/>
        <v>0</v>
      </c>
      <c r="AM415" s="159">
        <f t="shared" si="165"/>
        <v>0</v>
      </c>
      <c r="AN415" s="159">
        <f t="shared" si="165"/>
        <v>0</v>
      </c>
      <c r="AO415" s="159">
        <f t="shared" si="165"/>
        <v>0</v>
      </c>
      <c r="AP415" s="159">
        <f t="shared" si="165"/>
        <v>0</v>
      </c>
    </row>
    <row r="416" spans="1:42" x14ac:dyDescent="0.2">
      <c r="A416" s="4">
        <f t="shared" si="161"/>
        <v>7</v>
      </c>
      <c r="B416" s="176">
        <f t="shared" si="158"/>
        <v>0</v>
      </c>
      <c r="C416" s="178">
        <f t="shared" ref="C416:AP416" si="166">LOOKUP(C404,$B$368:$AP$368,$B$369:$AP$369)/100*$B718</f>
        <v>0</v>
      </c>
      <c r="D416" s="159">
        <f t="shared" si="166"/>
        <v>0</v>
      </c>
      <c r="E416" s="159">
        <f t="shared" si="166"/>
        <v>0</v>
      </c>
      <c r="F416" s="159">
        <f t="shared" si="166"/>
        <v>0</v>
      </c>
      <c r="G416" s="159">
        <f t="shared" si="166"/>
        <v>0</v>
      </c>
      <c r="H416" s="159">
        <f t="shared" si="166"/>
        <v>0</v>
      </c>
      <c r="I416" s="159">
        <f t="shared" si="166"/>
        <v>0</v>
      </c>
      <c r="J416" s="159">
        <f t="shared" si="166"/>
        <v>0</v>
      </c>
      <c r="K416" s="159">
        <f t="shared" si="166"/>
        <v>0</v>
      </c>
      <c r="L416" s="159">
        <f t="shared" si="166"/>
        <v>0</v>
      </c>
      <c r="M416" s="159">
        <f t="shared" si="166"/>
        <v>0</v>
      </c>
      <c r="N416" s="159">
        <f t="shared" si="166"/>
        <v>0</v>
      </c>
      <c r="O416" s="159">
        <f t="shared" si="166"/>
        <v>0</v>
      </c>
      <c r="P416" s="159">
        <f t="shared" si="166"/>
        <v>0</v>
      </c>
      <c r="Q416" s="159">
        <f t="shared" si="166"/>
        <v>0</v>
      </c>
      <c r="R416" s="159">
        <f t="shared" si="166"/>
        <v>0</v>
      </c>
      <c r="S416" s="159">
        <f t="shared" si="166"/>
        <v>0</v>
      </c>
      <c r="T416" s="159">
        <f t="shared" si="166"/>
        <v>0</v>
      </c>
      <c r="U416" s="159">
        <f t="shared" si="166"/>
        <v>0</v>
      </c>
      <c r="V416" s="159">
        <f t="shared" si="166"/>
        <v>0</v>
      </c>
      <c r="W416" s="159">
        <f t="shared" si="166"/>
        <v>0</v>
      </c>
      <c r="X416" s="159">
        <f t="shared" si="166"/>
        <v>0</v>
      </c>
      <c r="Y416" s="159">
        <f t="shared" si="166"/>
        <v>0</v>
      </c>
      <c r="Z416" s="159">
        <f t="shared" si="166"/>
        <v>0</v>
      </c>
      <c r="AA416" s="159">
        <f t="shared" si="166"/>
        <v>0</v>
      </c>
      <c r="AB416" s="159">
        <f t="shared" si="166"/>
        <v>0</v>
      </c>
      <c r="AC416" s="159">
        <f t="shared" si="166"/>
        <v>0</v>
      </c>
      <c r="AD416" s="159">
        <f t="shared" si="166"/>
        <v>0</v>
      </c>
      <c r="AE416" s="159">
        <f t="shared" si="166"/>
        <v>0</v>
      </c>
      <c r="AF416" s="159">
        <f t="shared" si="166"/>
        <v>0</v>
      </c>
      <c r="AG416" s="159">
        <f t="shared" si="166"/>
        <v>0</v>
      </c>
      <c r="AH416" s="159">
        <f t="shared" si="166"/>
        <v>0</v>
      </c>
      <c r="AI416" s="159">
        <f t="shared" si="166"/>
        <v>0</v>
      </c>
      <c r="AJ416" s="159">
        <f t="shared" si="166"/>
        <v>0</v>
      </c>
      <c r="AK416" s="159">
        <f t="shared" si="166"/>
        <v>0</v>
      </c>
      <c r="AL416" s="159">
        <f t="shared" si="166"/>
        <v>0</v>
      </c>
      <c r="AM416" s="159">
        <f t="shared" si="166"/>
        <v>0</v>
      </c>
      <c r="AN416" s="159">
        <f t="shared" si="166"/>
        <v>0</v>
      </c>
      <c r="AO416" s="159">
        <f t="shared" si="166"/>
        <v>0</v>
      </c>
      <c r="AP416" s="159">
        <f t="shared" si="166"/>
        <v>0</v>
      </c>
    </row>
    <row r="417" spans="1:42" x14ac:dyDescent="0.2">
      <c r="A417" s="4">
        <f t="shared" si="161"/>
        <v>8</v>
      </c>
      <c r="B417" s="176">
        <f t="shared" si="158"/>
        <v>0</v>
      </c>
      <c r="C417" s="178">
        <f t="shared" ref="C417:AP417" si="167">LOOKUP(C405,$B$368:$AP$368,$B$369:$AP$369)/100*$B719</f>
        <v>0</v>
      </c>
      <c r="D417" s="159">
        <f t="shared" si="167"/>
        <v>0</v>
      </c>
      <c r="E417" s="159">
        <f t="shared" si="167"/>
        <v>0</v>
      </c>
      <c r="F417" s="159">
        <f t="shared" si="167"/>
        <v>0</v>
      </c>
      <c r="G417" s="159">
        <f t="shared" si="167"/>
        <v>0</v>
      </c>
      <c r="H417" s="159">
        <f t="shared" si="167"/>
        <v>0</v>
      </c>
      <c r="I417" s="159">
        <f t="shared" si="167"/>
        <v>0</v>
      </c>
      <c r="J417" s="159">
        <f t="shared" si="167"/>
        <v>0</v>
      </c>
      <c r="K417" s="159">
        <f t="shared" si="167"/>
        <v>0</v>
      </c>
      <c r="L417" s="159">
        <f t="shared" si="167"/>
        <v>0</v>
      </c>
      <c r="M417" s="159">
        <f t="shared" si="167"/>
        <v>0</v>
      </c>
      <c r="N417" s="159">
        <f t="shared" si="167"/>
        <v>0</v>
      </c>
      <c r="O417" s="159">
        <f t="shared" si="167"/>
        <v>0</v>
      </c>
      <c r="P417" s="159">
        <f t="shared" si="167"/>
        <v>0</v>
      </c>
      <c r="Q417" s="159">
        <f t="shared" si="167"/>
        <v>0</v>
      </c>
      <c r="R417" s="159">
        <f t="shared" si="167"/>
        <v>0</v>
      </c>
      <c r="S417" s="159">
        <f t="shared" si="167"/>
        <v>0</v>
      </c>
      <c r="T417" s="159">
        <f t="shared" si="167"/>
        <v>0</v>
      </c>
      <c r="U417" s="159">
        <f t="shared" si="167"/>
        <v>0</v>
      </c>
      <c r="V417" s="159">
        <f t="shared" si="167"/>
        <v>0</v>
      </c>
      <c r="W417" s="159">
        <f t="shared" si="167"/>
        <v>0</v>
      </c>
      <c r="X417" s="159">
        <f t="shared" si="167"/>
        <v>0</v>
      </c>
      <c r="Y417" s="159">
        <f t="shared" si="167"/>
        <v>0</v>
      </c>
      <c r="Z417" s="159">
        <f t="shared" si="167"/>
        <v>0</v>
      </c>
      <c r="AA417" s="159">
        <f t="shared" si="167"/>
        <v>0</v>
      </c>
      <c r="AB417" s="159">
        <f t="shared" si="167"/>
        <v>0</v>
      </c>
      <c r="AC417" s="159">
        <f t="shared" si="167"/>
        <v>0</v>
      </c>
      <c r="AD417" s="159">
        <f t="shared" si="167"/>
        <v>0</v>
      </c>
      <c r="AE417" s="159">
        <f t="shared" si="167"/>
        <v>0</v>
      </c>
      <c r="AF417" s="159">
        <f t="shared" si="167"/>
        <v>0</v>
      </c>
      <c r="AG417" s="159">
        <f t="shared" si="167"/>
        <v>0</v>
      </c>
      <c r="AH417" s="159">
        <f t="shared" si="167"/>
        <v>0</v>
      </c>
      <c r="AI417" s="159">
        <f t="shared" si="167"/>
        <v>0</v>
      </c>
      <c r="AJ417" s="159">
        <f t="shared" si="167"/>
        <v>0</v>
      </c>
      <c r="AK417" s="159">
        <f t="shared" si="167"/>
        <v>0</v>
      </c>
      <c r="AL417" s="159">
        <f t="shared" si="167"/>
        <v>0</v>
      </c>
      <c r="AM417" s="159">
        <f t="shared" si="167"/>
        <v>0</v>
      </c>
      <c r="AN417" s="159">
        <f t="shared" si="167"/>
        <v>0</v>
      </c>
      <c r="AO417" s="159">
        <f t="shared" si="167"/>
        <v>0</v>
      </c>
      <c r="AP417" s="159">
        <f t="shared" si="167"/>
        <v>0</v>
      </c>
    </row>
    <row r="418" spans="1:42" x14ac:dyDescent="0.2">
      <c r="A418" s="4">
        <f>A417+1</f>
        <v>9</v>
      </c>
      <c r="B418" s="176">
        <f t="shared" si="158"/>
        <v>0</v>
      </c>
      <c r="C418" s="178">
        <f t="shared" ref="C418:AP418" si="168">LOOKUP(C406,$B$368:$AP$368,$B$369:$AP$369)/100*$B720</f>
        <v>0</v>
      </c>
      <c r="D418" s="159">
        <f t="shared" si="168"/>
        <v>0</v>
      </c>
      <c r="E418" s="159">
        <f t="shared" si="168"/>
        <v>0</v>
      </c>
      <c r="F418" s="159">
        <f t="shared" si="168"/>
        <v>0</v>
      </c>
      <c r="G418" s="159">
        <f t="shared" si="168"/>
        <v>0</v>
      </c>
      <c r="H418" s="159">
        <f t="shared" si="168"/>
        <v>0</v>
      </c>
      <c r="I418" s="159">
        <f t="shared" si="168"/>
        <v>0</v>
      </c>
      <c r="J418" s="159">
        <f t="shared" si="168"/>
        <v>0</v>
      </c>
      <c r="K418" s="159">
        <f t="shared" si="168"/>
        <v>0</v>
      </c>
      <c r="L418" s="159">
        <f t="shared" si="168"/>
        <v>0</v>
      </c>
      <c r="M418" s="159">
        <f t="shared" si="168"/>
        <v>0</v>
      </c>
      <c r="N418" s="159">
        <f t="shared" si="168"/>
        <v>0</v>
      </c>
      <c r="O418" s="159">
        <f t="shared" si="168"/>
        <v>0</v>
      </c>
      <c r="P418" s="159">
        <f t="shared" si="168"/>
        <v>0</v>
      </c>
      <c r="Q418" s="159">
        <f t="shared" si="168"/>
        <v>0</v>
      </c>
      <c r="R418" s="159">
        <f t="shared" si="168"/>
        <v>0</v>
      </c>
      <c r="S418" s="159">
        <f t="shared" si="168"/>
        <v>0</v>
      </c>
      <c r="T418" s="159">
        <f t="shared" si="168"/>
        <v>0</v>
      </c>
      <c r="U418" s="159">
        <f t="shared" si="168"/>
        <v>0</v>
      </c>
      <c r="V418" s="159">
        <f t="shared" si="168"/>
        <v>0</v>
      </c>
      <c r="W418" s="159">
        <f t="shared" si="168"/>
        <v>0</v>
      </c>
      <c r="X418" s="159">
        <f t="shared" si="168"/>
        <v>0</v>
      </c>
      <c r="Y418" s="159">
        <f t="shared" si="168"/>
        <v>0</v>
      </c>
      <c r="Z418" s="159">
        <f t="shared" si="168"/>
        <v>0</v>
      </c>
      <c r="AA418" s="159">
        <f t="shared" si="168"/>
        <v>0</v>
      </c>
      <c r="AB418" s="159">
        <f t="shared" si="168"/>
        <v>0</v>
      </c>
      <c r="AC418" s="159">
        <f t="shared" si="168"/>
        <v>0</v>
      </c>
      <c r="AD418" s="159">
        <f t="shared" si="168"/>
        <v>0</v>
      </c>
      <c r="AE418" s="159">
        <f t="shared" si="168"/>
        <v>0</v>
      </c>
      <c r="AF418" s="159">
        <f t="shared" si="168"/>
        <v>0</v>
      </c>
      <c r="AG418" s="159">
        <f t="shared" si="168"/>
        <v>0</v>
      </c>
      <c r="AH418" s="159">
        <f t="shared" si="168"/>
        <v>0</v>
      </c>
      <c r="AI418" s="159">
        <f t="shared" si="168"/>
        <v>0</v>
      </c>
      <c r="AJ418" s="159">
        <f t="shared" si="168"/>
        <v>0</v>
      </c>
      <c r="AK418" s="159">
        <f t="shared" si="168"/>
        <v>0</v>
      </c>
      <c r="AL418" s="159">
        <f t="shared" si="168"/>
        <v>0</v>
      </c>
      <c r="AM418" s="159">
        <f t="shared" si="168"/>
        <v>0</v>
      </c>
      <c r="AN418" s="159">
        <f t="shared" si="168"/>
        <v>0</v>
      </c>
      <c r="AO418" s="159">
        <f t="shared" si="168"/>
        <v>0</v>
      </c>
      <c r="AP418" s="159">
        <f t="shared" si="168"/>
        <v>0</v>
      </c>
    </row>
    <row r="419" spans="1:42" x14ac:dyDescent="0.2">
      <c r="A419" s="4">
        <f t="shared" si="161"/>
        <v>10</v>
      </c>
      <c r="B419" s="176">
        <f t="shared" si="158"/>
        <v>0</v>
      </c>
      <c r="C419" s="177">
        <f t="shared" ref="C419:AP419" si="169">LOOKUP(C407,$B$368:$AP$368,$B$369:$AP$369)/100*$B721</f>
        <v>0</v>
      </c>
      <c r="D419" s="160">
        <f t="shared" si="169"/>
        <v>0</v>
      </c>
      <c r="E419" s="160">
        <f t="shared" si="169"/>
        <v>0</v>
      </c>
      <c r="F419" s="160">
        <f t="shared" si="169"/>
        <v>0</v>
      </c>
      <c r="G419" s="160">
        <f t="shared" si="169"/>
        <v>0</v>
      </c>
      <c r="H419" s="160">
        <f t="shared" si="169"/>
        <v>0</v>
      </c>
      <c r="I419" s="160">
        <f t="shared" si="169"/>
        <v>0</v>
      </c>
      <c r="J419" s="160">
        <f t="shared" si="169"/>
        <v>0</v>
      </c>
      <c r="K419" s="160">
        <f t="shared" si="169"/>
        <v>0</v>
      </c>
      <c r="L419" s="160">
        <f t="shared" si="169"/>
        <v>0</v>
      </c>
      <c r="M419" s="160">
        <f t="shared" si="169"/>
        <v>0</v>
      </c>
      <c r="N419" s="160">
        <f t="shared" si="169"/>
        <v>0</v>
      </c>
      <c r="O419" s="160">
        <f t="shared" si="169"/>
        <v>0</v>
      </c>
      <c r="P419" s="160">
        <f t="shared" si="169"/>
        <v>0</v>
      </c>
      <c r="Q419" s="160">
        <f t="shared" si="169"/>
        <v>0</v>
      </c>
      <c r="R419" s="160">
        <f t="shared" si="169"/>
        <v>0</v>
      </c>
      <c r="S419" s="160">
        <f t="shared" si="169"/>
        <v>0</v>
      </c>
      <c r="T419" s="160">
        <f t="shared" si="169"/>
        <v>0</v>
      </c>
      <c r="U419" s="160">
        <f t="shared" si="169"/>
        <v>0</v>
      </c>
      <c r="V419" s="160">
        <f t="shared" si="169"/>
        <v>0</v>
      </c>
      <c r="W419" s="160">
        <f t="shared" si="169"/>
        <v>0</v>
      </c>
      <c r="X419" s="160">
        <f t="shared" si="169"/>
        <v>0</v>
      </c>
      <c r="Y419" s="160">
        <f t="shared" si="169"/>
        <v>0</v>
      </c>
      <c r="Z419" s="160">
        <f t="shared" si="169"/>
        <v>0</v>
      </c>
      <c r="AA419" s="160">
        <f t="shared" si="169"/>
        <v>0</v>
      </c>
      <c r="AB419" s="160">
        <f t="shared" si="169"/>
        <v>0</v>
      </c>
      <c r="AC419" s="160">
        <f t="shared" si="169"/>
        <v>0</v>
      </c>
      <c r="AD419" s="160">
        <f t="shared" si="169"/>
        <v>0</v>
      </c>
      <c r="AE419" s="160">
        <f t="shared" si="169"/>
        <v>0</v>
      </c>
      <c r="AF419" s="160">
        <f t="shared" si="169"/>
        <v>0</v>
      </c>
      <c r="AG419" s="160">
        <f t="shared" si="169"/>
        <v>0</v>
      </c>
      <c r="AH419" s="160">
        <f t="shared" si="169"/>
        <v>0</v>
      </c>
      <c r="AI419" s="160">
        <f t="shared" si="169"/>
        <v>0</v>
      </c>
      <c r="AJ419" s="160">
        <f t="shared" si="169"/>
        <v>0</v>
      </c>
      <c r="AK419" s="160">
        <f t="shared" si="169"/>
        <v>0</v>
      </c>
      <c r="AL419" s="160">
        <f t="shared" si="169"/>
        <v>0</v>
      </c>
      <c r="AM419" s="160">
        <f t="shared" si="169"/>
        <v>0</v>
      </c>
      <c r="AN419" s="160">
        <f t="shared" si="169"/>
        <v>0</v>
      </c>
      <c r="AO419" s="160">
        <f t="shared" si="169"/>
        <v>0</v>
      </c>
      <c r="AP419" s="160">
        <f t="shared" si="169"/>
        <v>0</v>
      </c>
    </row>
    <row r="420" spans="1:42" ht="12" customHeight="1" x14ac:dyDescent="0.2">
      <c r="A420" s="27" t="s">
        <v>13</v>
      </c>
      <c r="C420" s="159">
        <f>SUM(C410:C419)</f>
        <v>0</v>
      </c>
      <c r="D420" s="159">
        <f t="shared" ref="D420:AP420" si="170">SUM(D410:D419)</f>
        <v>0</v>
      </c>
      <c r="E420" s="159">
        <f t="shared" si="170"/>
        <v>0</v>
      </c>
      <c r="F420" s="159">
        <f t="shared" si="170"/>
        <v>0</v>
      </c>
      <c r="G420" s="159">
        <f t="shared" si="170"/>
        <v>0</v>
      </c>
      <c r="H420" s="159">
        <f t="shared" si="170"/>
        <v>0</v>
      </c>
      <c r="I420" s="159">
        <f t="shared" si="170"/>
        <v>0</v>
      </c>
      <c r="J420" s="159">
        <f t="shared" si="170"/>
        <v>0</v>
      </c>
      <c r="K420" s="159">
        <f t="shared" si="170"/>
        <v>0</v>
      </c>
      <c r="L420" s="159">
        <f t="shared" si="170"/>
        <v>0</v>
      </c>
      <c r="M420" s="159">
        <f t="shared" si="170"/>
        <v>0</v>
      </c>
      <c r="N420" s="159">
        <f t="shared" si="170"/>
        <v>0</v>
      </c>
      <c r="O420" s="159">
        <f t="shared" si="170"/>
        <v>0</v>
      </c>
      <c r="P420" s="159">
        <f t="shared" si="170"/>
        <v>0</v>
      </c>
      <c r="Q420" s="159">
        <f t="shared" si="170"/>
        <v>0</v>
      </c>
      <c r="R420" s="159">
        <f t="shared" si="170"/>
        <v>0</v>
      </c>
      <c r="S420" s="159">
        <f t="shared" si="170"/>
        <v>0</v>
      </c>
      <c r="T420" s="159">
        <f t="shared" si="170"/>
        <v>0</v>
      </c>
      <c r="U420" s="159">
        <f t="shared" si="170"/>
        <v>0</v>
      </c>
      <c r="V420" s="159">
        <f t="shared" si="170"/>
        <v>0</v>
      </c>
      <c r="W420" s="159">
        <f t="shared" si="170"/>
        <v>0</v>
      </c>
      <c r="X420" s="159">
        <f t="shared" si="170"/>
        <v>0</v>
      </c>
      <c r="Y420" s="159">
        <f t="shared" si="170"/>
        <v>0</v>
      </c>
      <c r="Z420" s="159">
        <f t="shared" si="170"/>
        <v>0</v>
      </c>
      <c r="AA420" s="159">
        <f t="shared" si="170"/>
        <v>0</v>
      </c>
      <c r="AB420" s="159">
        <f t="shared" si="170"/>
        <v>0</v>
      </c>
      <c r="AC420" s="159">
        <f t="shared" si="170"/>
        <v>0</v>
      </c>
      <c r="AD420" s="159">
        <f t="shared" si="170"/>
        <v>0</v>
      </c>
      <c r="AE420" s="159">
        <f t="shared" si="170"/>
        <v>0</v>
      </c>
      <c r="AF420" s="159">
        <f t="shared" si="170"/>
        <v>0</v>
      </c>
      <c r="AG420" s="159">
        <f t="shared" si="170"/>
        <v>0</v>
      </c>
      <c r="AH420" s="159">
        <f t="shared" si="170"/>
        <v>0</v>
      </c>
      <c r="AI420" s="159">
        <f t="shared" si="170"/>
        <v>0</v>
      </c>
      <c r="AJ420" s="159">
        <f t="shared" si="170"/>
        <v>0</v>
      </c>
      <c r="AK420" s="159">
        <f t="shared" si="170"/>
        <v>0</v>
      </c>
      <c r="AL420" s="159">
        <f t="shared" si="170"/>
        <v>0</v>
      </c>
      <c r="AM420" s="159">
        <f t="shared" si="170"/>
        <v>0</v>
      </c>
      <c r="AN420" s="159">
        <f t="shared" si="170"/>
        <v>0</v>
      </c>
      <c r="AO420" s="159">
        <f t="shared" si="170"/>
        <v>0</v>
      </c>
      <c r="AP420" s="159">
        <f t="shared" si="170"/>
        <v>0</v>
      </c>
    </row>
    <row r="421" spans="1:42" x14ac:dyDescent="0.2">
      <c r="A421" s="22"/>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row>
    <row r="422" spans="1:42" x14ac:dyDescent="0.2">
      <c r="A422" s="18" t="s">
        <v>77</v>
      </c>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row>
    <row r="423" spans="1:42" x14ac:dyDescent="0.2">
      <c r="A423" s="22" t="s">
        <v>62</v>
      </c>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row>
    <row r="424" spans="1:42" x14ac:dyDescent="0.2">
      <c r="A424" s="4">
        <v>1</v>
      </c>
      <c r="B424" s="4">
        <v>0</v>
      </c>
      <c r="C424" s="159">
        <f>IF(C$2&lt;=analysis_period,IF(SUM($C744:C744)&gt;0,B424+1,0),0)</f>
        <v>0</v>
      </c>
      <c r="D424" s="159">
        <f>IF(D$2&lt;=analysis_period,IF(SUM($C744:D744)&gt;0,C424+1,0),0)</f>
        <v>0</v>
      </c>
      <c r="E424" s="159">
        <f>IF(E$2&lt;=analysis_period,IF(SUM($C744:E744)&gt;0,D424+1,0),0)</f>
        <v>0</v>
      </c>
      <c r="F424" s="159">
        <f>IF(F$2&lt;=analysis_period,IF(SUM($C744:F744)&gt;0,E424+1,0),0)</f>
        <v>0</v>
      </c>
      <c r="G424" s="159">
        <f>IF(G$2&lt;=analysis_period,IF(SUM($C744:G744)&gt;0,F424+1,0),0)</f>
        <v>0</v>
      </c>
      <c r="H424" s="159">
        <f>IF(H$2&lt;=analysis_period,IF(SUM($C744:H744)&gt;0,G424+1,0),0)</f>
        <v>0</v>
      </c>
      <c r="I424" s="159">
        <f>IF(I$2&lt;=analysis_period,IF(SUM($C744:I744)&gt;0,H424+1,0),0)</f>
        <v>0</v>
      </c>
      <c r="J424" s="159">
        <f>IF(J$2&lt;=analysis_period,IF(SUM($C744:J744)&gt;0,I424+1,0),0)</f>
        <v>0</v>
      </c>
      <c r="K424" s="159">
        <f>IF(K$2&lt;=analysis_period,IF(SUM($C744:K744)&gt;0,J424+1,0),0)</f>
        <v>0</v>
      </c>
      <c r="L424" s="159">
        <f>IF(L$2&lt;=analysis_period,IF(SUM($C744:L744)&gt;0,K424+1,0),0)</f>
        <v>0</v>
      </c>
      <c r="M424" s="159">
        <f>IF(M$2&lt;=analysis_period,IF(SUM($C744:M744)&gt;0,L424+1,0),0)</f>
        <v>0</v>
      </c>
      <c r="N424" s="159">
        <f>IF(N$2&lt;=analysis_period,IF(SUM($C744:N744)&gt;0,M424+1,0),0)</f>
        <v>0</v>
      </c>
      <c r="O424" s="159">
        <f>IF(O$2&lt;=analysis_period,IF(SUM($C744:O744)&gt;0,N424+1,0),0)</f>
        <v>0</v>
      </c>
      <c r="P424" s="159">
        <f>IF(P$2&lt;=analysis_period,IF(SUM($C744:P744)&gt;0,O424+1,0),0)</f>
        <v>0</v>
      </c>
      <c r="Q424" s="159">
        <f>IF(Q$2&lt;=analysis_period,IF(SUM($C744:Q744)&gt;0,P424+1,0),0)</f>
        <v>0</v>
      </c>
      <c r="R424" s="159">
        <f>IF(R$2&lt;=analysis_period,IF(SUM($C744:R744)&gt;0,Q424+1,0),0)</f>
        <v>0</v>
      </c>
      <c r="S424" s="159">
        <f>IF(S$2&lt;=analysis_period,IF(SUM($C744:S744)&gt;0,R424+1,0),0)</f>
        <v>0</v>
      </c>
      <c r="T424" s="159">
        <f>IF(T$2&lt;=analysis_period,IF(SUM($C744:T744)&gt;0,S424+1,0),0)</f>
        <v>0</v>
      </c>
      <c r="U424" s="159">
        <f>IF(U$2&lt;=analysis_period,IF(SUM($C744:U744)&gt;0,T424+1,0),0)</f>
        <v>0</v>
      </c>
      <c r="V424" s="159">
        <f>IF(V$2&lt;=analysis_period,IF(SUM($C744:V744)&gt;0,U424+1,0),0)</f>
        <v>0</v>
      </c>
      <c r="W424" s="159">
        <f>IF(W$2&lt;=analysis_period,IF(SUM($C744:W744)&gt;0,V424+1,0),0)</f>
        <v>0</v>
      </c>
      <c r="X424" s="159">
        <f>IF(X$2&lt;=analysis_period,IF(SUM($C744:X744)&gt;0,W424+1,0),0)</f>
        <v>0</v>
      </c>
      <c r="Y424" s="159">
        <f>IF(Y$2&lt;=analysis_period,IF(SUM($C744:Y744)&gt;0,X424+1,0),0)</f>
        <v>0</v>
      </c>
      <c r="Z424" s="159">
        <f>IF(Z$2&lt;=analysis_period,IF(SUM($C744:Z744)&gt;0,Y424+1,0),0)</f>
        <v>0</v>
      </c>
      <c r="AA424" s="159">
        <f>IF(AA$2&lt;=analysis_period,IF(SUM($C744:AA744)&gt;0,Z424+1,0),0)</f>
        <v>0</v>
      </c>
      <c r="AB424" s="159">
        <f>IF(AB$2&lt;=analysis_period,IF(SUM($C744:AB744)&gt;0,AA424+1,0),0)</f>
        <v>0</v>
      </c>
      <c r="AC424" s="159">
        <f>IF(AC$2&lt;=analysis_period,IF(SUM($C744:AC744)&gt;0,AB424+1,0),0)</f>
        <v>0</v>
      </c>
      <c r="AD424" s="159">
        <f>IF(AD$2&lt;=analysis_period,IF(SUM($C744:AD744)&gt;0,AC424+1,0),0)</f>
        <v>0</v>
      </c>
      <c r="AE424" s="159">
        <f>IF(AE$2&lt;=analysis_period,IF(SUM($C744:AE744)&gt;0,AD424+1,0),0)</f>
        <v>0</v>
      </c>
      <c r="AF424" s="159">
        <f>IF(AF$2&lt;=analysis_period,IF(SUM($C744:AF744)&gt;0,AE424+1,0),0)</f>
        <v>0</v>
      </c>
      <c r="AG424" s="159">
        <f>IF(AG$2&lt;=analysis_period,IF(SUM($C744:AG744)&gt;0,AF424+1,0),0)</f>
        <v>0</v>
      </c>
      <c r="AH424" s="159">
        <f>IF(AH$2&lt;=analysis_period,IF(SUM($C744:AH744)&gt;0,AG424+1,0),0)</f>
        <v>0</v>
      </c>
      <c r="AI424" s="159">
        <f>IF(AI$2&lt;=analysis_period,IF(SUM($C744:AI744)&gt;0,AH424+1,0),0)</f>
        <v>0</v>
      </c>
      <c r="AJ424" s="159">
        <f>IF(AJ$2&lt;=analysis_period,IF(SUM($C744:AJ744)&gt;0,AI424+1,0),0)</f>
        <v>0</v>
      </c>
      <c r="AK424" s="159">
        <f>IF(AK$2&lt;=analysis_period,IF(SUM($C744:AK744)&gt;0,AJ424+1,0),0)</f>
        <v>0</v>
      </c>
      <c r="AL424" s="159">
        <f>IF(AL$2&lt;=analysis_period,IF(SUM($C744:AL744)&gt;0,AK424+1,0),0)</f>
        <v>0</v>
      </c>
      <c r="AM424" s="159">
        <f>IF(AM$2&lt;=analysis_period,IF(SUM($C744:AM744)&gt;0,AL424+1,0),0)</f>
        <v>0</v>
      </c>
      <c r="AN424" s="159">
        <f>IF(AN$2&lt;=analysis_period,IF(SUM($C744:AN744)&gt;0,AM424+1,0),0)</f>
        <v>0</v>
      </c>
      <c r="AO424" s="159">
        <f>IF(AO$2&lt;=analysis_period,IF(SUM($C744:AO744)&gt;0,AN424+1,0),0)</f>
        <v>0</v>
      </c>
      <c r="AP424" s="159">
        <f>IF(AP$2&lt;=analysis_period,IF(SUM($C744:AP744)&gt;0,AO424+1,0),0)</f>
        <v>0</v>
      </c>
    </row>
    <row r="425" spans="1:42" x14ac:dyDescent="0.2">
      <c r="A425" s="4">
        <f>A424+1</f>
        <v>2</v>
      </c>
      <c r="B425" s="4">
        <v>0</v>
      </c>
      <c r="C425" s="159">
        <f>IF(C$2&lt;=analysis_period,IF(SUM($C745:C745)&gt;0,B425+1,0),0)</f>
        <v>0</v>
      </c>
      <c r="D425" s="159">
        <f>IF(D$2&lt;=analysis_period,IF(SUM($C745:D745)&gt;0,C425+1,0),0)</f>
        <v>0</v>
      </c>
      <c r="E425" s="159">
        <f>IF(E$2&lt;=analysis_period,IF(SUM($C745:E745)&gt;0,D425+1,0),0)</f>
        <v>0</v>
      </c>
      <c r="F425" s="159">
        <f>IF(F$2&lt;=analysis_period,IF(SUM($C745:F745)&gt;0,E425+1,0),0)</f>
        <v>0</v>
      </c>
      <c r="G425" s="159">
        <f>IF(G$2&lt;=analysis_period,IF(SUM($C745:G745)&gt;0,F425+1,0),0)</f>
        <v>0</v>
      </c>
      <c r="H425" s="159">
        <f>IF(H$2&lt;=analysis_period,IF(SUM($C745:H745)&gt;0,G425+1,0),0)</f>
        <v>0</v>
      </c>
      <c r="I425" s="159">
        <f>IF(I$2&lt;=analysis_period,IF(SUM($C745:I745)&gt;0,H425+1,0),0)</f>
        <v>0</v>
      </c>
      <c r="J425" s="159">
        <f>IF(J$2&lt;=analysis_period,IF(SUM($C745:J745)&gt;0,I425+1,0),0)</f>
        <v>0</v>
      </c>
      <c r="K425" s="159">
        <f>IF(K$2&lt;=analysis_period,IF(SUM($C745:K745)&gt;0,J425+1,0),0)</f>
        <v>0</v>
      </c>
      <c r="L425" s="159">
        <f>IF(L$2&lt;=analysis_period,IF(SUM($C745:L745)&gt;0,K425+1,0),0)</f>
        <v>0</v>
      </c>
      <c r="M425" s="159">
        <f>IF(M$2&lt;=analysis_period,IF(SUM($C745:M745)&gt;0,L425+1,0),0)</f>
        <v>0</v>
      </c>
      <c r="N425" s="159">
        <f>IF(N$2&lt;=analysis_period,IF(SUM($C745:N745)&gt;0,M425+1,0),0)</f>
        <v>0</v>
      </c>
      <c r="O425" s="159">
        <f>IF(O$2&lt;=analysis_period,IF(SUM($C745:O745)&gt;0,N425+1,0),0)</f>
        <v>0</v>
      </c>
      <c r="P425" s="159">
        <f>IF(P$2&lt;=analysis_period,IF(SUM($C745:P745)&gt;0,O425+1,0),0)</f>
        <v>0</v>
      </c>
      <c r="Q425" s="159">
        <f>IF(Q$2&lt;=analysis_period,IF(SUM($C745:Q745)&gt;0,P425+1,0),0)</f>
        <v>0</v>
      </c>
      <c r="R425" s="159">
        <f>IF(R$2&lt;=analysis_period,IF(SUM($C745:R745)&gt;0,Q425+1,0),0)</f>
        <v>0</v>
      </c>
      <c r="S425" s="159">
        <f>IF(S$2&lt;=analysis_period,IF(SUM($C745:S745)&gt;0,R425+1,0),0)</f>
        <v>0</v>
      </c>
      <c r="T425" s="159">
        <f>IF(T$2&lt;=analysis_period,IF(SUM($C745:T745)&gt;0,S425+1,0),0)</f>
        <v>0</v>
      </c>
      <c r="U425" s="159">
        <f>IF(U$2&lt;=analysis_period,IF(SUM($C745:U745)&gt;0,T425+1,0),0)</f>
        <v>0</v>
      </c>
      <c r="V425" s="159">
        <f>IF(V$2&lt;=analysis_period,IF(SUM($C745:V745)&gt;0,U425+1,0),0)</f>
        <v>0</v>
      </c>
      <c r="W425" s="159">
        <f>IF(W$2&lt;=analysis_period,IF(SUM($C745:W745)&gt;0,V425+1,0),0)</f>
        <v>0</v>
      </c>
      <c r="X425" s="159">
        <f>IF(X$2&lt;=analysis_period,IF(SUM($C745:X745)&gt;0,W425+1,0),0)</f>
        <v>0</v>
      </c>
      <c r="Y425" s="159">
        <f>IF(Y$2&lt;=analysis_period,IF(SUM($C745:Y745)&gt;0,X425+1,0),0)</f>
        <v>0</v>
      </c>
      <c r="Z425" s="159">
        <f>IF(Z$2&lt;=analysis_period,IF(SUM($C745:Z745)&gt;0,Y425+1,0),0)</f>
        <v>0</v>
      </c>
      <c r="AA425" s="159">
        <f>IF(AA$2&lt;=analysis_period,IF(SUM($C745:AA745)&gt;0,Z425+1,0),0)</f>
        <v>0</v>
      </c>
      <c r="AB425" s="159">
        <f>IF(AB$2&lt;=analysis_period,IF(SUM($C745:AB745)&gt;0,AA425+1,0),0)</f>
        <v>0</v>
      </c>
      <c r="AC425" s="159">
        <f>IF(AC$2&lt;=analysis_period,IF(SUM($C745:AC745)&gt;0,AB425+1,0),0)</f>
        <v>0</v>
      </c>
      <c r="AD425" s="159">
        <f>IF(AD$2&lt;=analysis_period,IF(SUM($C745:AD745)&gt;0,AC425+1,0),0)</f>
        <v>0</v>
      </c>
      <c r="AE425" s="159">
        <f>IF(AE$2&lt;=analysis_period,IF(SUM($C745:AE745)&gt;0,AD425+1,0),0)</f>
        <v>0</v>
      </c>
      <c r="AF425" s="159">
        <f>IF(AF$2&lt;=analysis_period,IF(SUM($C745:AF745)&gt;0,AE425+1,0),0)</f>
        <v>0</v>
      </c>
      <c r="AG425" s="159">
        <f>IF(AG$2&lt;=analysis_period,IF(SUM($C745:AG745)&gt;0,AF425+1,0),0)</f>
        <v>0</v>
      </c>
      <c r="AH425" s="159">
        <f>IF(AH$2&lt;=analysis_period,IF(SUM($C745:AH745)&gt;0,AG425+1,0),0)</f>
        <v>0</v>
      </c>
      <c r="AI425" s="159">
        <f>IF(AI$2&lt;=analysis_period,IF(SUM($C745:AI745)&gt;0,AH425+1,0),0)</f>
        <v>0</v>
      </c>
      <c r="AJ425" s="159">
        <f>IF(AJ$2&lt;=analysis_period,IF(SUM($C745:AJ745)&gt;0,AI425+1,0),0)</f>
        <v>0</v>
      </c>
      <c r="AK425" s="159">
        <f>IF(AK$2&lt;=analysis_period,IF(SUM($C745:AK745)&gt;0,AJ425+1,0),0)</f>
        <v>0</v>
      </c>
      <c r="AL425" s="159">
        <f>IF(AL$2&lt;=analysis_period,IF(SUM($C745:AL745)&gt;0,AK425+1,0),0)</f>
        <v>0</v>
      </c>
      <c r="AM425" s="159">
        <f>IF(AM$2&lt;=analysis_period,IF(SUM($C745:AM745)&gt;0,AL425+1,0),0)</f>
        <v>0</v>
      </c>
      <c r="AN425" s="159">
        <f>IF(AN$2&lt;=analysis_period,IF(SUM($C745:AN745)&gt;0,AM425+1,0),0)</f>
        <v>0</v>
      </c>
      <c r="AO425" s="159">
        <f>IF(AO$2&lt;=analysis_period,IF(SUM($C745:AO745)&gt;0,AN425+1,0),0)</f>
        <v>0</v>
      </c>
      <c r="AP425" s="159">
        <f>IF(AP$2&lt;=analysis_period,IF(SUM($C745:AP745)&gt;0,AO425+1,0),0)</f>
        <v>0</v>
      </c>
    </row>
    <row r="426" spans="1:42" x14ac:dyDescent="0.2">
      <c r="A426" s="4">
        <f t="shared" ref="A426:A433" si="171">A425+1</f>
        <v>3</v>
      </c>
      <c r="B426" s="4">
        <v>0</v>
      </c>
      <c r="C426" s="159">
        <f>IF(C$2&lt;=analysis_period,IF(SUM($C746:C746)&gt;0,B426+1,0),0)</f>
        <v>0</v>
      </c>
      <c r="D426" s="159">
        <f>IF(D$2&lt;=analysis_period,IF(SUM($C746:D746)&gt;0,C426+1,0),0)</f>
        <v>0</v>
      </c>
      <c r="E426" s="159">
        <f>IF(E$2&lt;=analysis_period,IF(SUM($C746:E746)&gt;0,D426+1,0),0)</f>
        <v>0</v>
      </c>
      <c r="F426" s="159">
        <f>IF(F$2&lt;=analysis_period,IF(SUM($C746:F746)&gt;0,E426+1,0),0)</f>
        <v>0</v>
      </c>
      <c r="G426" s="159">
        <f>IF(G$2&lt;=analysis_period,IF(SUM($C746:G746)&gt;0,F426+1,0),0)</f>
        <v>0</v>
      </c>
      <c r="H426" s="159">
        <f>IF(H$2&lt;=analysis_period,IF(SUM($C746:H746)&gt;0,G426+1,0),0)</f>
        <v>0</v>
      </c>
      <c r="I426" s="159">
        <f>IF(I$2&lt;=analysis_period,IF(SUM($C746:I746)&gt;0,H426+1,0),0)</f>
        <v>0</v>
      </c>
      <c r="J426" s="159">
        <f>IF(J$2&lt;=analysis_period,IF(SUM($C746:J746)&gt;0,I426+1,0),0)</f>
        <v>0</v>
      </c>
      <c r="K426" s="159">
        <f>IF(K$2&lt;=analysis_period,IF(SUM($C746:K746)&gt;0,J426+1,0),0)</f>
        <v>0</v>
      </c>
      <c r="L426" s="159">
        <f>IF(L$2&lt;=analysis_period,IF(SUM($C746:L746)&gt;0,K426+1,0),0)</f>
        <v>0</v>
      </c>
      <c r="M426" s="159">
        <f>IF(M$2&lt;=analysis_period,IF(SUM($C746:M746)&gt;0,L426+1,0),0)</f>
        <v>0</v>
      </c>
      <c r="N426" s="159">
        <f>IF(N$2&lt;=analysis_period,IF(SUM($C746:N746)&gt;0,M426+1,0),0)</f>
        <v>0</v>
      </c>
      <c r="O426" s="159">
        <f>IF(O$2&lt;=analysis_period,IF(SUM($C746:O746)&gt;0,N426+1,0),0)</f>
        <v>0</v>
      </c>
      <c r="P426" s="159">
        <f>IF(P$2&lt;=analysis_period,IF(SUM($C746:P746)&gt;0,O426+1,0),0)</f>
        <v>0</v>
      </c>
      <c r="Q426" s="159">
        <f>IF(Q$2&lt;=analysis_period,IF(SUM($C746:Q746)&gt;0,P426+1,0),0)</f>
        <v>0</v>
      </c>
      <c r="R426" s="159">
        <f>IF(R$2&lt;=analysis_period,IF(SUM($C746:R746)&gt;0,Q426+1,0),0)</f>
        <v>0</v>
      </c>
      <c r="S426" s="159">
        <f>IF(S$2&lt;=analysis_period,IF(SUM($C746:S746)&gt;0,R426+1,0),0)</f>
        <v>0</v>
      </c>
      <c r="T426" s="159">
        <f>IF(T$2&lt;=analysis_period,IF(SUM($C746:T746)&gt;0,S426+1,0),0)</f>
        <v>0</v>
      </c>
      <c r="U426" s="159">
        <f>IF(U$2&lt;=analysis_period,IF(SUM($C746:U746)&gt;0,T426+1,0),0)</f>
        <v>0</v>
      </c>
      <c r="V426" s="159">
        <f>IF(V$2&lt;=analysis_period,IF(SUM($C746:V746)&gt;0,U426+1,0),0)</f>
        <v>0</v>
      </c>
      <c r="W426" s="159">
        <f>IF(W$2&lt;=analysis_period,IF(SUM($C746:W746)&gt;0,V426+1,0),0)</f>
        <v>0</v>
      </c>
      <c r="X426" s="159">
        <f>IF(X$2&lt;=analysis_period,IF(SUM($C746:X746)&gt;0,W426+1,0),0)</f>
        <v>0</v>
      </c>
      <c r="Y426" s="159">
        <f>IF(Y$2&lt;=analysis_period,IF(SUM($C746:Y746)&gt;0,X426+1,0),0)</f>
        <v>0</v>
      </c>
      <c r="Z426" s="159">
        <f>IF(Z$2&lt;=analysis_period,IF(SUM($C746:Z746)&gt;0,Y426+1,0),0)</f>
        <v>0</v>
      </c>
      <c r="AA426" s="159">
        <f>IF(AA$2&lt;=analysis_period,IF(SUM($C746:AA746)&gt;0,Z426+1,0),0)</f>
        <v>0</v>
      </c>
      <c r="AB426" s="159">
        <f>IF(AB$2&lt;=analysis_period,IF(SUM($C746:AB746)&gt;0,AA426+1,0),0)</f>
        <v>0</v>
      </c>
      <c r="AC426" s="159">
        <f>IF(AC$2&lt;=analysis_period,IF(SUM($C746:AC746)&gt;0,AB426+1,0),0)</f>
        <v>0</v>
      </c>
      <c r="AD426" s="159">
        <f>IF(AD$2&lt;=analysis_period,IF(SUM($C746:AD746)&gt;0,AC426+1,0),0)</f>
        <v>0</v>
      </c>
      <c r="AE426" s="159">
        <f>IF(AE$2&lt;=analysis_period,IF(SUM($C746:AE746)&gt;0,AD426+1,0),0)</f>
        <v>0</v>
      </c>
      <c r="AF426" s="159">
        <f>IF(AF$2&lt;=analysis_period,IF(SUM($C746:AF746)&gt;0,AE426+1,0),0)</f>
        <v>0</v>
      </c>
      <c r="AG426" s="159">
        <f>IF(AG$2&lt;=analysis_period,IF(SUM($C746:AG746)&gt;0,AF426+1,0),0)</f>
        <v>0</v>
      </c>
      <c r="AH426" s="159">
        <f>IF(AH$2&lt;=analysis_period,IF(SUM($C746:AH746)&gt;0,AG426+1,0),0)</f>
        <v>0</v>
      </c>
      <c r="AI426" s="159">
        <f>IF(AI$2&lt;=analysis_period,IF(SUM($C746:AI746)&gt;0,AH426+1,0),0)</f>
        <v>0</v>
      </c>
      <c r="AJ426" s="159">
        <f>IF(AJ$2&lt;=analysis_period,IF(SUM($C746:AJ746)&gt;0,AI426+1,0),0)</f>
        <v>0</v>
      </c>
      <c r="AK426" s="159">
        <f>IF(AK$2&lt;=analysis_period,IF(SUM($C746:AK746)&gt;0,AJ426+1,0),0)</f>
        <v>0</v>
      </c>
      <c r="AL426" s="159">
        <f>IF(AL$2&lt;=analysis_period,IF(SUM($C746:AL746)&gt;0,AK426+1,0),0)</f>
        <v>0</v>
      </c>
      <c r="AM426" s="159">
        <f>IF(AM$2&lt;=analysis_period,IF(SUM($C746:AM746)&gt;0,AL426+1,0),0)</f>
        <v>0</v>
      </c>
      <c r="AN426" s="159">
        <f>IF(AN$2&lt;=analysis_period,IF(SUM($C746:AN746)&gt;0,AM426+1,0),0)</f>
        <v>0</v>
      </c>
      <c r="AO426" s="159">
        <f>IF(AO$2&lt;=analysis_period,IF(SUM($C746:AO746)&gt;0,AN426+1,0),0)</f>
        <v>0</v>
      </c>
      <c r="AP426" s="159">
        <f>IF(AP$2&lt;=analysis_period,IF(SUM($C746:AP746)&gt;0,AO426+1,0),0)</f>
        <v>0</v>
      </c>
    </row>
    <row r="427" spans="1:42" x14ac:dyDescent="0.2">
      <c r="A427" s="4">
        <f t="shared" si="171"/>
        <v>4</v>
      </c>
      <c r="B427" s="4">
        <v>0</v>
      </c>
      <c r="C427" s="159">
        <f>IF(C$2&lt;=analysis_period,IF(SUM($C747:C747)&gt;0,B427+1,0),0)</f>
        <v>0</v>
      </c>
      <c r="D427" s="159">
        <f>IF(D$2&lt;=analysis_period,IF(SUM($C747:D747)&gt;0,C427+1,0),0)</f>
        <v>0</v>
      </c>
      <c r="E427" s="159">
        <f>IF(E$2&lt;=analysis_period,IF(SUM($C747:E747)&gt;0,D427+1,0),0)</f>
        <v>0</v>
      </c>
      <c r="F427" s="159">
        <f>IF(F$2&lt;=analysis_period,IF(SUM($C747:F747)&gt;0,E427+1,0),0)</f>
        <v>0</v>
      </c>
      <c r="G427" s="159">
        <f>IF(G$2&lt;=analysis_period,IF(SUM($C747:G747)&gt;0,F427+1,0),0)</f>
        <v>0</v>
      </c>
      <c r="H427" s="159">
        <f>IF(H$2&lt;=analysis_period,IF(SUM($C747:H747)&gt;0,G427+1,0),0)</f>
        <v>0</v>
      </c>
      <c r="I427" s="159">
        <f>IF(I$2&lt;=analysis_period,IF(SUM($C747:I747)&gt;0,H427+1,0),0)</f>
        <v>0</v>
      </c>
      <c r="J427" s="159">
        <f>IF(J$2&lt;=analysis_period,IF(SUM($C747:J747)&gt;0,I427+1,0),0)</f>
        <v>0</v>
      </c>
      <c r="K427" s="159">
        <f>IF(K$2&lt;=analysis_period,IF(SUM($C747:K747)&gt;0,J427+1,0),0)</f>
        <v>0</v>
      </c>
      <c r="L427" s="159">
        <f>IF(L$2&lt;=analysis_period,IF(SUM($C747:L747)&gt;0,K427+1,0),0)</f>
        <v>0</v>
      </c>
      <c r="M427" s="159">
        <f>IF(M$2&lt;=analysis_period,IF(SUM($C747:M747)&gt;0,L427+1,0),0)</f>
        <v>0</v>
      </c>
      <c r="N427" s="159">
        <f>IF(N$2&lt;=analysis_period,IF(SUM($C747:N747)&gt;0,M427+1,0),0)</f>
        <v>0</v>
      </c>
      <c r="O427" s="159">
        <f>IF(O$2&lt;=analysis_period,IF(SUM($C747:O747)&gt;0,N427+1,0),0)</f>
        <v>0</v>
      </c>
      <c r="P427" s="159">
        <f>IF(P$2&lt;=analysis_period,IF(SUM($C747:P747)&gt;0,O427+1,0),0)</f>
        <v>0</v>
      </c>
      <c r="Q427" s="159">
        <f>IF(Q$2&lt;=analysis_period,IF(SUM($C747:Q747)&gt;0,P427+1,0),0)</f>
        <v>0</v>
      </c>
      <c r="R427" s="159">
        <f>IF(R$2&lt;=analysis_period,IF(SUM($C747:R747)&gt;0,Q427+1,0),0)</f>
        <v>0</v>
      </c>
      <c r="S427" s="159">
        <f>IF(S$2&lt;=analysis_period,IF(SUM($C747:S747)&gt;0,R427+1,0),0)</f>
        <v>0</v>
      </c>
      <c r="T427" s="159">
        <f>IF(T$2&lt;=analysis_period,IF(SUM($C747:T747)&gt;0,S427+1,0),0)</f>
        <v>0</v>
      </c>
      <c r="U427" s="159">
        <f>IF(U$2&lt;=analysis_period,IF(SUM($C747:U747)&gt;0,T427+1,0),0)</f>
        <v>0</v>
      </c>
      <c r="V427" s="159">
        <f>IF(V$2&lt;=analysis_period,IF(SUM($C747:V747)&gt;0,U427+1,0),0)</f>
        <v>0</v>
      </c>
      <c r="W427" s="159">
        <f>IF(W$2&lt;=analysis_period,IF(SUM($C747:W747)&gt;0,V427+1,0),0)</f>
        <v>0</v>
      </c>
      <c r="X427" s="159">
        <f>IF(X$2&lt;=analysis_period,IF(SUM($C747:X747)&gt;0,W427+1,0),0)</f>
        <v>0</v>
      </c>
      <c r="Y427" s="159">
        <f>IF(Y$2&lt;=analysis_period,IF(SUM($C747:Y747)&gt;0,X427+1,0),0)</f>
        <v>0</v>
      </c>
      <c r="Z427" s="159">
        <f>IF(Z$2&lt;=analysis_period,IF(SUM($C747:Z747)&gt;0,Y427+1,0),0)</f>
        <v>0</v>
      </c>
      <c r="AA427" s="159">
        <f>IF(AA$2&lt;=analysis_period,IF(SUM($C747:AA747)&gt;0,Z427+1,0),0)</f>
        <v>0</v>
      </c>
      <c r="AB427" s="159">
        <f>IF(AB$2&lt;=analysis_period,IF(SUM($C747:AB747)&gt;0,AA427+1,0),0)</f>
        <v>0</v>
      </c>
      <c r="AC427" s="159">
        <f>IF(AC$2&lt;=analysis_period,IF(SUM($C747:AC747)&gt;0,AB427+1,0),0)</f>
        <v>0</v>
      </c>
      <c r="AD427" s="159">
        <f>IF(AD$2&lt;=analysis_period,IF(SUM($C747:AD747)&gt;0,AC427+1,0),0)</f>
        <v>0</v>
      </c>
      <c r="AE427" s="159">
        <f>IF(AE$2&lt;=analysis_period,IF(SUM($C747:AE747)&gt;0,AD427+1,0),0)</f>
        <v>0</v>
      </c>
      <c r="AF427" s="159">
        <f>IF(AF$2&lt;=analysis_period,IF(SUM($C747:AF747)&gt;0,AE427+1,0),0)</f>
        <v>0</v>
      </c>
      <c r="AG427" s="159">
        <f>IF(AG$2&lt;=analysis_period,IF(SUM($C747:AG747)&gt;0,AF427+1,0),0)</f>
        <v>0</v>
      </c>
      <c r="AH427" s="159">
        <f>IF(AH$2&lt;=analysis_period,IF(SUM($C747:AH747)&gt;0,AG427+1,0),0)</f>
        <v>0</v>
      </c>
      <c r="AI427" s="159">
        <f>IF(AI$2&lt;=analysis_period,IF(SUM($C747:AI747)&gt;0,AH427+1,0),0)</f>
        <v>0</v>
      </c>
      <c r="AJ427" s="159">
        <f>IF(AJ$2&lt;=analysis_period,IF(SUM($C747:AJ747)&gt;0,AI427+1,0),0)</f>
        <v>0</v>
      </c>
      <c r="AK427" s="159">
        <f>IF(AK$2&lt;=analysis_period,IF(SUM($C747:AK747)&gt;0,AJ427+1,0),0)</f>
        <v>0</v>
      </c>
      <c r="AL427" s="159">
        <f>IF(AL$2&lt;=analysis_period,IF(SUM($C747:AL747)&gt;0,AK427+1,0),0)</f>
        <v>0</v>
      </c>
      <c r="AM427" s="159">
        <f>IF(AM$2&lt;=analysis_period,IF(SUM($C747:AM747)&gt;0,AL427+1,0),0)</f>
        <v>0</v>
      </c>
      <c r="AN427" s="159">
        <f>IF(AN$2&lt;=analysis_period,IF(SUM($C747:AN747)&gt;0,AM427+1,0),0)</f>
        <v>0</v>
      </c>
      <c r="AO427" s="159">
        <f>IF(AO$2&lt;=analysis_period,IF(SUM($C747:AO747)&gt;0,AN427+1,0),0)</f>
        <v>0</v>
      </c>
      <c r="AP427" s="159">
        <f>IF(AP$2&lt;=analysis_period,IF(SUM($C747:AP747)&gt;0,AO427+1,0),0)</f>
        <v>0</v>
      </c>
    </row>
    <row r="428" spans="1:42" x14ac:dyDescent="0.2">
      <c r="A428" s="4">
        <f t="shared" si="171"/>
        <v>5</v>
      </c>
      <c r="B428" s="4">
        <v>0</v>
      </c>
      <c r="C428" s="159">
        <f>IF(C$2&lt;=analysis_period,IF(SUM($C748:C748)&gt;0,B428+1,0),0)</f>
        <v>0</v>
      </c>
      <c r="D428" s="159">
        <f>IF(D$2&lt;=analysis_period,IF(SUM($C748:D748)&gt;0,C428+1,0),0)</f>
        <v>0</v>
      </c>
      <c r="E428" s="159">
        <f>IF(E$2&lt;=analysis_period,IF(SUM($C748:E748)&gt;0,D428+1,0),0)</f>
        <v>0</v>
      </c>
      <c r="F428" s="159">
        <f>IF(F$2&lt;=analysis_period,IF(SUM($C748:F748)&gt;0,E428+1,0),0)</f>
        <v>0</v>
      </c>
      <c r="G428" s="159">
        <f>IF(G$2&lt;=analysis_period,IF(SUM($C748:G748)&gt;0,F428+1,0),0)</f>
        <v>0</v>
      </c>
      <c r="H428" s="159">
        <f>IF(H$2&lt;=analysis_period,IF(SUM($C748:H748)&gt;0,G428+1,0),0)</f>
        <v>0</v>
      </c>
      <c r="I428" s="159">
        <f>IF(I$2&lt;=analysis_period,IF(SUM($C748:I748)&gt;0,H428+1,0),0)</f>
        <v>0</v>
      </c>
      <c r="J428" s="159">
        <f>IF(J$2&lt;=analysis_period,IF(SUM($C748:J748)&gt;0,I428+1,0),0)</f>
        <v>0</v>
      </c>
      <c r="K428" s="159">
        <f>IF(K$2&lt;=analysis_period,IF(SUM($C748:K748)&gt;0,J428+1,0),0)</f>
        <v>0</v>
      </c>
      <c r="L428" s="159">
        <f>IF(L$2&lt;=analysis_period,IF(SUM($C748:L748)&gt;0,K428+1,0),0)</f>
        <v>0</v>
      </c>
      <c r="M428" s="159">
        <f>IF(M$2&lt;=analysis_period,IF(SUM($C748:M748)&gt;0,L428+1,0),0)</f>
        <v>0</v>
      </c>
      <c r="N428" s="159">
        <f>IF(N$2&lt;=analysis_period,IF(SUM($C748:N748)&gt;0,M428+1,0),0)</f>
        <v>0</v>
      </c>
      <c r="O428" s="159">
        <f>IF(O$2&lt;=analysis_period,IF(SUM($C748:O748)&gt;0,N428+1,0),0)</f>
        <v>0</v>
      </c>
      <c r="P428" s="159">
        <f>IF(P$2&lt;=analysis_period,IF(SUM($C748:P748)&gt;0,O428+1,0),0)</f>
        <v>0</v>
      </c>
      <c r="Q428" s="159">
        <f>IF(Q$2&lt;=analysis_period,IF(SUM($C748:Q748)&gt;0,P428+1,0),0)</f>
        <v>0</v>
      </c>
      <c r="R428" s="159">
        <f>IF(R$2&lt;=analysis_period,IF(SUM($C748:R748)&gt;0,Q428+1,0),0)</f>
        <v>0</v>
      </c>
      <c r="S428" s="159">
        <f>IF(S$2&lt;=analysis_period,IF(SUM($C748:S748)&gt;0,R428+1,0),0)</f>
        <v>0</v>
      </c>
      <c r="T428" s="159">
        <f>IF(T$2&lt;=analysis_period,IF(SUM($C748:T748)&gt;0,S428+1,0),0)</f>
        <v>0</v>
      </c>
      <c r="U428" s="159">
        <f>IF(U$2&lt;=analysis_period,IF(SUM($C748:U748)&gt;0,T428+1,0),0)</f>
        <v>0</v>
      </c>
      <c r="V428" s="159">
        <f>IF(V$2&lt;=analysis_period,IF(SUM($C748:V748)&gt;0,U428+1,0),0)</f>
        <v>0</v>
      </c>
      <c r="W428" s="159">
        <f>IF(W$2&lt;=analysis_period,IF(SUM($C748:W748)&gt;0,V428+1,0),0)</f>
        <v>0</v>
      </c>
      <c r="X428" s="159">
        <f>IF(X$2&lt;=analysis_period,IF(SUM($C748:X748)&gt;0,W428+1,0),0)</f>
        <v>0</v>
      </c>
      <c r="Y428" s="159">
        <f>IF(Y$2&lt;=analysis_period,IF(SUM($C748:Y748)&gt;0,X428+1,0),0)</f>
        <v>0</v>
      </c>
      <c r="Z428" s="159">
        <f>IF(Z$2&lt;=analysis_period,IF(SUM($C748:Z748)&gt;0,Y428+1,0),0)</f>
        <v>0</v>
      </c>
      <c r="AA428" s="159">
        <f>IF(AA$2&lt;=analysis_period,IF(SUM($C748:AA748)&gt;0,Z428+1,0),0)</f>
        <v>0</v>
      </c>
      <c r="AB428" s="159">
        <f>IF(AB$2&lt;=analysis_period,IF(SUM($C748:AB748)&gt;0,AA428+1,0),0)</f>
        <v>0</v>
      </c>
      <c r="AC428" s="159">
        <f>IF(AC$2&lt;=analysis_period,IF(SUM($C748:AC748)&gt;0,AB428+1,0),0)</f>
        <v>0</v>
      </c>
      <c r="AD428" s="159">
        <f>IF(AD$2&lt;=analysis_period,IF(SUM($C748:AD748)&gt;0,AC428+1,0),0)</f>
        <v>0</v>
      </c>
      <c r="AE428" s="159">
        <f>IF(AE$2&lt;=analysis_period,IF(SUM($C748:AE748)&gt;0,AD428+1,0),0)</f>
        <v>0</v>
      </c>
      <c r="AF428" s="159">
        <f>IF(AF$2&lt;=analysis_period,IF(SUM($C748:AF748)&gt;0,AE428+1,0),0)</f>
        <v>0</v>
      </c>
      <c r="AG428" s="159">
        <f>IF(AG$2&lt;=analysis_period,IF(SUM($C748:AG748)&gt;0,AF428+1,0),0)</f>
        <v>0</v>
      </c>
      <c r="AH428" s="159">
        <f>IF(AH$2&lt;=analysis_period,IF(SUM($C748:AH748)&gt;0,AG428+1,0),0)</f>
        <v>0</v>
      </c>
      <c r="AI428" s="159">
        <f>IF(AI$2&lt;=analysis_period,IF(SUM($C748:AI748)&gt;0,AH428+1,0),0)</f>
        <v>0</v>
      </c>
      <c r="AJ428" s="159">
        <f>IF(AJ$2&lt;=analysis_period,IF(SUM($C748:AJ748)&gt;0,AI428+1,0),0)</f>
        <v>0</v>
      </c>
      <c r="AK428" s="159">
        <f>IF(AK$2&lt;=analysis_period,IF(SUM($C748:AK748)&gt;0,AJ428+1,0),0)</f>
        <v>0</v>
      </c>
      <c r="AL428" s="159">
        <f>IF(AL$2&lt;=analysis_period,IF(SUM($C748:AL748)&gt;0,AK428+1,0),0)</f>
        <v>0</v>
      </c>
      <c r="AM428" s="159">
        <f>IF(AM$2&lt;=analysis_period,IF(SUM($C748:AM748)&gt;0,AL428+1,0),0)</f>
        <v>0</v>
      </c>
      <c r="AN428" s="159">
        <f>IF(AN$2&lt;=analysis_period,IF(SUM($C748:AN748)&gt;0,AM428+1,0),0)</f>
        <v>0</v>
      </c>
      <c r="AO428" s="159">
        <f>IF(AO$2&lt;=analysis_period,IF(SUM($C748:AO748)&gt;0,AN428+1,0),0)</f>
        <v>0</v>
      </c>
      <c r="AP428" s="159">
        <f>IF(AP$2&lt;=analysis_period,IF(SUM($C748:AP748)&gt;0,AO428+1,0),0)</f>
        <v>0</v>
      </c>
    </row>
    <row r="429" spans="1:42" x14ac:dyDescent="0.2">
      <c r="A429" s="4">
        <f t="shared" si="171"/>
        <v>6</v>
      </c>
      <c r="B429" s="4">
        <v>0</v>
      </c>
      <c r="C429" s="159">
        <f>IF(C$2&lt;=analysis_period,IF(SUM($C749:C749)&gt;0,B429+1,0),0)</f>
        <v>0</v>
      </c>
      <c r="D429" s="159">
        <f>IF(D$2&lt;=analysis_period,IF(SUM($C749:D749)&gt;0,C429+1,0),0)</f>
        <v>0</v>
      </c>
      <c r="E429" s="159">
        <f>IF(E$2&lt;=analysis_period,IF(SUM($C749:E749)&gt;0,D429+1,0),0)</f>
        <v>0</v>
      </c>
      <c r="F429" s="159">
        <f>IF(F$2&lt;=analysis_period,IF(SUM($C749:F749)&gt;0,E429+1,0),0)</f>
        <v>0</v>
      </c>
      <c r="G429" s="159">
        <f>IF(G$2&lt;=analysis_period,IF(SUM($C749:G749)&gt;0,F429+1,0),0)</f>
        <v>0</v>
      </c>
      <c r="H429" s="159">
        <f>IF(H$2&lt;=analysis_period,IF(SUM($C749:H749)&gt;0,G429+1,0),0)</f>
        <v>0</v>
      </c>
      <c r="I429" s="159">
        <f>IF(I$2&lt;=analysis_period,IF(SUM($C749:I749)&gt;0,H429+1,0),0)</f>
        <v>0</v>
      </c>
      <c r="J429" s="159">
        <f>IF(J$2&lt;=analysis_period,IF(SUM($C749:J749)&gt;0,I429+1,0),0)</f>
        <v>0</v>
      </c>
      <c r="K429" s="159">
        <f>IF(K$2&lt;=analysis_period,IF(SUM($C749:K749)&gt;0,J429+1,0),0)</f>
        <v>0</v>
      </c>
      <c r="L429" s="159">
        <f>IF(L$2&lt;=analysis_period,IF(SUM($C749:L749)&gt;0,K429+1,0),0)</f>
        <v>0</v>
      </c>
      <c r="M429" s="159">
        <f>IF(M$2&lt;=analysis_period,IF(SUM($C749:M749)&gt;0,L429+1,0),0)</f>
        <v>0</v>
      </c>
      <c r="N429" s="159">
        <f>IF(N$2&lt;=analysis_period,IF(SUM($C749:N749)&gt;0,M429+1,0),0)</f>
        <v>0</v>
      </c>
      <c r="O429" s="159">
        <f>IF(O$2&lt;=analysis_period,IF(SUM($C749:O749)&gt;0,N429+1,0),0)</f>
        <v>0</v>
      </c>
      <c r="P429" s="159">
        <f>IF(P$2&lt;=analysis_period,IF(SUM($C749:P749)&gt;0,O429+1,0),0)</f>
        <v>0</v>
      </c>
      <c r="Q429" s="159">
        <f>IF(Q$2&lt;=analysis_period,IF(SUM($C749:Q749)&gt;0,P429+1,0),0)</f>
        <v>0</v>
      </c>
      <c r="R429" s="159">
        <f>IF(R$2&lt;=analysis_period,IF(SUM($C749:R749)&gt;0,Q429+1,0),0)</f>
        <v>0</v>
      </c>
      <c r="S429" s="159">
        <f>IF(S$2&lt;=analysis_period,IF(SUM($C749:S749)&gt;0,R429+1,0),0)</f>
        <v>0</v>
      </c>
      <c r="T429" s="159">
        <f>IF(T$2&lt;=analysis_period,IF(SUM($C749:T749)&gt;0,S429+1,0),0)</f>
        <v>0</v>
      </c>
      <c r="U429" s="159">
        <f>IF(U$2&lt;=analysis_period,IF(SUM($C749:U749)&gt;0,T429+1,0),0)</f>
        <v>0</v>
      </c>
      <c r="V429" s="159">
        <f>IF(V$2&lt;=analysis_period,IF(SUM($C749:V749)&gt;0,U429+1,0),0)</f>
        <v>0</v>
      </c>
      <c r="W429" s="159">
        <f>IF(W$2&lt;=analysis_period,IF(SUM($C749:W749)&gt;0,V429+1,0),0)</f>
        <v>0</v>
      </c>
      <c r="X429" s="159">
        <f>IF(X$2&lt;=analysis_period,IF(SUM($C749:X749)&gt;0,W429+1,0),0)</f>
        <v>0</v>
      </c>
      <c r="Y429" s="159">
        <f>IF(Y$2&lt;=analysis_period,IF(SUM($C749:Y749)&gt;0,X429+1,0),0)</f>
        <v>0</v>
      </c>
      <c r="Z429" s="159">
        <f>IF(Z$2&lt;=analysis_period,IF(SUM($C749:Z749)&gt;0,Y429+1,0),0)</f>
        <v>0</v>
      </c>
      <c r="AA429" s="159">
        <f>IF(AA$2&lt;=analysis_period,IF(SUM($C749:AA749)&gt;0,Z429+1,0),0)</f>
        <v>0</v>
      </c>
      <c r="AB429" s="159">
        <f>IF(AB$2&lt;=analysis_period,IF(SUM($C749:AB749)&gt;0,AA429+1,0),0)</f>
        <v>0</v>
      </c>
      <c r="AC429" s="159">
        <f>IF(AC$2&lt;=analysis_period,IF(SUM($C749:AC749)&gt;0,AB429+1,0),0)</f>
        <v>0</v>
      </c>
      <c r="AD429" s="159">
        <f>IF(AD$2&lt;=analysis_period,IF(SUM($C749:AD749)&gt;0,AC429+1,0),0)</f>
        <v>0</v>
      </c>
      <c r="AE429" s="159">
        <f>IF(AE$2&lt;=analysis_period,IF(SUM($C749:AE749)&gt;0,AD429+1,0),0)</f>
        <v>0</v>
      </c>
      <c r="AF429" s="159">
        <f>IF(AF$2&lt;=analysis_period,IF(SUM($C749:AF749)&gt;0,AE429+1,0),0)</f>
        <v>0</v>
      </c>
      <c r="AG429" s="159">
        <f>IF(AG$2&lt;=analysis_period,IF(SUM($C749:AG749)&gt;0,AF429+1,0),0)</f>
        <v>0</v>
      </c>
      <c r="AH429" s="159">
        <f>IF(AH$2&lt;=analysis_period,IF(SUM($C749:AH749)&gt;0,AG429+1,0),0)</f>
        <v>0</v>
      </c>
      <c r="AI429" s="159">
        <f>IF(AI$2&lt;=analysis_period,IF(SUM($C749:AI749)&gt;0,AH429+1,0),0)</f>
        <v>0</v>
      </c>
      <c r="AJ429" s="159">
        <f>IF(AJ$2&lt;=analysis_period,IF(SUM($C749:AJ749)&gt;0,AI429+1,0),0)</f>
        <v>0</v>
      </c>
      <c r="AK429" s="159">
        <f>IF(AK$2&lt;=analysis_period,IF(SUM($C749:AK749)&gt;0,AJ429+1,0),0)</f>
        <v>0</v>
      </c>
      <c r="AL429" s="159">
        <f>IF(AL$2&lt;=analysis_period,IF(SUM($C749:AL749)&gt;0,AK429+1,0),0)</f>
        <v>0</v>
      </c>
      <c r="AM429" s="159">
        <f>IF(AM$2&lt;=analysis_period,IF(SUM($C749:AM749)&gt;0,AL429+1,0),0)</f>
        <v>0</v>
      </c>
      <c r="AN429" s="159">
        <f>IF(AN$2&lt;=analysis_period,IF(SUM($C749:AN749)&gt;0,AM429+1,0),0)</f>
        <v>0</v>
      </c>
      <c r="AO429" s="159">
        <f>IF(AO$2&lt;=analysis_period,IF(SUM($C749:AO749)&gt;0,AN429+1,0),0)</f>
        <v>0</v>
      </c>
      <c r="AP429" s="159">
        <f>IF(AP$2&lt;=analysis_period,IF(SUM($C749:AP749)&gt;0,AO429+1,0),0)</f>
        <v>0</v>
      </c>
    </row>
    <row r="430" spans="1:42" x14ac:dyDescent="0.2">
      <c r="A430" s="4">
        <f t="shared" si="171"/>
        <v>7</v>
      </c>
      <c r="B430" s="4">
        <v>0</v>
      </c>
      <c r="C430" s="159">
        <f>IF(C$2&lt;=analysis_period,IF(SUM($C750:C750)&gt;0,B430+1,0),0)</f>
        <v>0</v>
      </c>
      <c r="D430" s="159">
        <f>IF(D$2&lt;=analysis_period,IF(SUM($C750:D750)&gt;0,C430+1,0),0)</f>
        <v>0</v>
      </c>
      <c r="E430" s="159">
        <f>IF(E$2&lt;=analysis_period,IF(SUM($C750:E750)&gt;0,D430+1,0),0)</f>
        <v>0</v>
      </c>
      <c r="F430" s="159">
        <f>IF(F$2&lt;=analysis_period,IF(SUM($C750:F750)&gt;0,E430+1,0),0)</f>
        <v>0</v>
      </c>
      <c r="G430" s="159">
        <f>IF(G$2&lt;=analysis_period,IF(SUM($C750:G750)&gt;0,F430+1,0),0)</f>
        <v>0</v>
      </c>
      <c r="H430" s="159">
        <f>IF(H$2&lt;=analysis_period,IF(SUM($C750:H750)&gt;0,G430+1,0),0)</f>
        <v>0</v>
      </c>
      <c r="I430" s="159">
        <f>IF(I$2&lt;=analysis_period,IF(SUM($C750:I750)&gt;0,H430+1,0),0)</f>
        <v>0</v>
      </c>
      <c r="J430" s="159">
        <f>IF(J$2&lt;=analysis_period,IF(SUM($C750:J750)&gt;0,I430+1,0),0)</f>
        <v>0</v>
      </c>
      <c r="K430" s="159">
        <f>IF(K$2&lt;=analysis_period,IF(SUM($C750:K750)&gt;0,J430+1,0),0)</f>
        <v>0</v>
      </c>
      <c r="L430" s="159">
        <f>IF(L$2&lt;=analysis_period,IF(SUM($C750:L750)&gt;0,K430+1,0),0)</f>
        <v>0</v>
      </c>
      <c r="M430" s="159">
        <f>IF(M$2&lt;=analysis_period,IF(SUM($C750:M750)&gt;0,L430+1,0),0)</f>
        <v>0</v>
      </c>
      <c r="N430" s="159">
        <f>IF(N$2&lt;=analysis_period,IF(SUM($C750:N750)&gt;0,M430+1,0),0)</f>
        <v>0</v>
      </c>
      <c r="O430" s="159">
        <f>IF(O$2&lt;=analysis_period,IF(SUM($C750:O750)&gt;0,N430+1,0),0)</f>
        <v>0</v>
      </c>
      <c r="P430" s="159">
        <f>IF(P$2&lt;=analysis_period,IF(SUM($C750:P750)&gt;0,O430+1,0),0)</f>
        <v>0</v>
      </c>
      <c r="Q430" s="159">
        <f>IF(Q$2&lt;=analysis_period,IF(SUM($C750:Q750)&gt;0,P430+1,0),0)</f>
        <v>0</v>
      </c>
      <c r="R430" s="159">
        <f>IF(R$2&lt;=analysis_period,IF(SUM($C750:R750)&gt;0,Q430+1,0),0)</f>
        <v>0</v>
      </c>
      <c r="S430" s="159">
        <f>IF(S$2&lt;=analysis_period,IF(SUM($C750:S750)&gt;0,R430+1,0),0)</f>
        <v>0</v>
      </c>
      <c r="T430" s="159">
        <f>IF(T$2&lt;=analysis_period,IF(SUM($C750:T750)&gt;0,S430+1,0),0)</f>
        <v>0</v>
      </c>
      <c r="U430" s="159">
        <f>IF(U$2&lt;=analysis_period,IF(SUM($C750:U750)&gt;0,T430+1,0),0)</f>
        <v>0</v>
      </c>
      <c r="V430" s="159">
        <f>IF(V$2&lt;=analysis_period,IF(SUM($C750:V750)&gt;0,U430+1,0),0)</f>
        <v>0</v>
      </c>
      <c r="W430" s="159">
        <f>IF(W$2&lt;=analysis_period,IF(SUM($C750:W750)&gt;0,V430+1,0),0)</f>
        <v>0</v>
      </c>
      <c r="X430" s="159">
        <f>IF(X$2&lt;=analysis_period,IF(SUM($C750:X750)&gt;0,W430+1,0),0)</f>
        <v>0</v>
      </c>
      <c r="Y430" s="159">
        <f>IF(Y$2&lt;=analysis_period,IF(SUM($C750:Y750)&gt;0,X430+1,0),0)</f>
        <v>0</v>
      </c>
      <c r="Z430" s="159">
        <f>IF(Z$2&lt;=analysis_period,IF(SUM($C750:Z750)&gt;0,Y430+1,0),0)</f>
        <v>0</v>
      </c>
      <c r="AA430" s="159">
        <f>IF(AA$2&lt;=analysis_period,IF(SUM($C750:AA750)&gt;0,Z430+1,0),0)</f>
        <v>0</v>
      </c>
      <c r="AB430" s="159">
        <f>IF(AB$2&lt;=analysis_period,IF(SUM($C750:AB750)&gt;0,AA430+1,0),0)</f>
        <v>0</v>
      </c>
      <c r="AC430" s="159">
        <f>IF(AC$2&lt;=analysis_period,IF(SUM($C750:AC750)&gt;0,AB430+1,0),0)</f>
        <v>0</v>
      </c>
      <c r="AD430" s="159">
        <f>IF(AD$2&lt;=analysis_period,IF(SUM($C750:AD750)&gt;0,AC430+1,0),0)</f>
        <v>0</v>
      </c>
      <c r="AE430" s="159">
        <f>IF(AE$2&lt;=analysis_period,IF(SUM($C750:AE750)&gt;0,AD430+1,0),0)</f>
        <v>0</v>
      </c>
      <c r="AF430" s="159">
        <f>IF(AF$2&lt;=analysis_period,IF(SUM($C750:AF750)&gt;0,AE430+1,0),0)</f>
        <v>0</v>
      </c>
      <c r="AG430" s="159">
        <f>IF(AG$2&lt;=analysis_period,IF(SUM($C750:AG750)&gt;0,AF430+1,0),0)</f>
        <v>0</v>
      </c>
      <c r="AH430" s="159">
        <f>IF(AH$2&lt;=analysis_period,IF(SUM($C750:AH750)&gt;0,AG430+1,0),0)</f>
        <v>0</v>
      </c>
      <c r="AI430" s="159">
        <f>IF(AI$2&lt;=analysis_period,IF(SUM($C750:AI750)&gt;0,AH430+1,0),0)</f>
        <v>0</v>
      </c>
      <c r="AJ430" s="159">
        <f>IF(AJ$2&lt;=analysis_period,IF(SUM($C750:AJ750)&gt;0,AI430+1,0),0)</f>
        <v>0</v>
      </c>
      <c r="AK430" s="159">
        <f>IF(AK$2&lt;=analysis_period,IF(SUM($C750:AK750)&gt;0,AJ430+1,0),0)</f>
        <v>0</v>
      </c>
      <c r="AL430" s="159">
        <f>IF(AL$2&lt;=analysis_period,IF(SUM($C750:AL750)&gt;0,AK430+1,0),0)</f>
        <v>0</v>
      </c>
      <c r="AM430" s="159">
        <f>IF(AM$2&lt;=analysis_period,IF(SUM($C750:AM750)&gt;0,AL430+1,0),0)</f>
        <v>0</v>
      </c>
      <c r="AN430" s="159">
        <f>IF(AN$2&lt;=analysis_period,IF(SUM($C750:AN750)&gt;0,AM430+1,0),0)</f>
        <v>0</v>
      </c>
      <c r="AO430" s="159">
        <f>IF(AO$2&lt;=analysis_period,IF(SUM($C750:AO750)&gt;0,AN430+1,0),0)</f>
        <v>0</v>
      </c>
      <c r="AP430" s="159">
        <f>IF(AP$2&lt;=analysis_period,IF(SUM($C750:AP750)&gt;0,AO430+1,0),0)</f>
        <v>0</v>
      </c>
    </row>
    <row r="431" spans="1:42" x14ac:dyDescent="0.2">
      <c r="A431" s="4">
        <f t="shared" si="171"/>
        <v>8</v>
      </c>
      <c r="B431" s="4">
        <v>0</v>
      </c>
      <c r="C431" s="159">
        <f>IF(C$2&lt;=analysis_period,IF(SUM($C751:C751)&gt;0,B431+1,0),0)</f>
        <v>0</v>
      </c>
      <c r="D431" s="159">
        <f>IF(D$2&lt;=analysis_period,IF(SUM($C751:D751)&gt;0,C431+1,0),0)</f>
        <v>0</v>
      </c>
      <c r="E431" s="159">
        <f>IF(E$2&lt;=analysis_period,IF(SUM($C751:E751)&gt;0,D431+1,0),0)</f>
        <v>0</v>
      </c>
      <c r="F431" s="159">
        <f>IF(F$2&lt;=analysis_period,IF(SUM($C751:F751)&gt;0,E431+1,0),0)</f>
        <v>0</v>
      </c>
      <c r="G431" s="159">
        <f>IF(G$2&lt;=analysis_period,IF(SUM($C751:G751)&gt;0,F431+1,0),0)</f>
        <v>0</v>
      </c>
      <c r="H431" s="159">
        <f>IF(H$2&lt;=analysis_period,IF(SUM($C751:H751)&gt;0,G431+1,0),0)</f>
        <v>0</v>
      </c>
      <c r="I431" s="159">
        <f>IF(I$2&lt;=analysis_period,IF(SUM($C751:I751)&gt;0,H431+1,0),0)</f>
        <v>0</v>
      </c>
      <c r="J431" s="159">
        <f>IF(J$2&lt;=analysis_period,IF(SUM($C751:J751)&gt;0,I431+1,0),0)</f>
        <v>0</v>
      </c>
      <c r="K431" s="159">
        <f>IF(K$2&lt;=analysis_period,IF(SUM($C751:K751)&gt;0,J431+1,0),0)</f>
        <v>0</v>
      </c>
      <c r="L431" s="159">
        <f>IF(L$2&lt;=analysis_period,IF(SUM($C751:L751)&gt;0,K431+1,0),0)</f>
        <v>0</v>
      </c>
      <c r="M431" s="159">
        <f>IF(M$2&lt;=analysis_period,IF(SUM($C751:M751)&gt;0,L431+1,0),0)</f>
        <v>0</v>
      </c>
      <c r="N431" s="159">
        <f>IF(N$2&lt;=analysis_period,IF(SUM($C751:N751)&gt;0,M431+1,0),0)</f>
        <v>0</v>
      </c>
      <c r="O431" s="159">
        <f>IF(O$2&lt;=analysis_period,IF(SUM($C751:O751)&gt;0,N431+1,0),0)</f>
        <v>0</v>
      </c>
      <c r="P431" s="159">
        <f>IF(P$2&lt;=analysis_period,IF(SUM($C751:P751)&gt;0,O431+1,0),0)</f>
        <v>0</v>
      </c>
      <c r="Q431" s="159">
        <f>IF(Q$2&lt;=analysis_period,IF(SUM($C751:Q751)&gt;0,P431+1,0),0)</f>
        <v>0</v>
      </c>
      <c r="R431" s="159">
        <f>IF(R$2&lt;=analysis_period,IF(SUM($C751:R751)&gt;0,Q431+1,0),0)</f>
        <v>0</v>
      </c>
      <c r="S431" s="159">
        <f>IF(S$2&lt;=analysis_period,IF(SUM($C751:S751)&gt;0,R431+1,0),0)</f>
        <v>0</v>
      </c>
      <c r="T431" s="159">
        <f>IF(T$2&lt;=analysis_period,IF(SUM($C751:T751)&gt;0,S431+1,0),0)</f>
        <v>0</v>
      </c>
      <c r="U431" s="159">
        <f>IF(U$2&lt;=analysis_period,IF(SUM($C751:U751)&gt;0,T431+1,0),0)</f>
        <v>0</v>
      </c>
      <c r="V431" s="159">
        <f>IF(V$2&lt;=analysis_period,IF(SUM($C751:V751)&gt;0,U431+1,0),0)</f>
        <v>0</v>
      </c>
      <c r="W431" s="159">
        <f>IF(W$2&lt;=analysis_period,IF(SUM($C751:W751)&gt;0,V431+1,0),0)</f>
        <v>0</v>
      </c>
      <c r="X431" s="159">
        <f>IF(X$2&lt;=analysis_period,IF(SUM($C751:X751)&gt;0,W431+1,0),0)</f>
        <v>0</v>
      </c>
      <c r="Y431" s="159">
        <f>IF(Y$2&lt;=analysis_period,IF(SUM($C751:Y751)&gt;0,X431+1,0),0)</f>
        <v>0</v>
      </c>
      <c r="Z431" s="159">
        <f>IF(Z$2&lt;=analysis_period,IF(SUM($C751:Z751)&gt;0,Y431+1,0),0)</f>
        <v>0</v>
      </c>
      <c r="AA431" s="159">
        <f>IF(AA$2&lt;=analysis_period,IF(SUM($C751:AA751)&gt;0,Z431+1,0),0)</f>
        <v>0</v>
      </c>
      <c r="AB431" s="159">
        <f>IF(AB$2&lt;=analysis_period,IF(SUM($C751:AB751)&gt;0,AA431+1,0),0)</f>
        <v>0</v>
      </c>
      <c r="AC431" s="159">
        <f>IF(AC$2&lt;=analysis_period,IF(SUM($C751:AC751)&gt;0,AB431+1,0),0)</f>
        <v>0</v>
      </c>
      <c r="AD431" s="159">
        <f>IF(AD$2&lt;=analysis_period,IF(SUM($C751:AD751)&gt;0,AC431+1,0),0)</f>
        <v>0</v>
      </c>
      <c r="AE431" s="159">
        <f>IF(AE$2&lt;=analysis_period,IF(SUM($C751:AE751)&gt;0,AD431+1,0),0)</f>
        <v>0</v>
      </c>
      <c r="AF431" s="159">
        <f>IF(AF$2&lt;=analysis_period,IF(SUM($C751:AF751)&gt;0,AE431+1,0),0)</f>
        <v>0</v>
      </c>
      <c r="AG431" s="159">
        <f>IF(AG$2&lt;=analysis_period,IF(SUM($C751:AG751)&gt;0,AF431+1,0),0)</f>
        <v>0</v>
      </c>
      <c r="AH431" s="159">
        <f>IF(AH$2&lt;=analysis_period,IF(SUM($C751:AH751)&gt;0,AG431+1,0),0)</f>
        <v>0</v>
      </c>
      <c r="AI431" s="159">
        <f>IF(AI$2&lt;=analysis_period,IF(SUM($C751:AI751)&gt;0,AH431+1,0),0)</f>
        <v>0</v>
      </c>
      <c r="AJ431" s="159">
        <f>IF(AJ$2&lt;=analysis_period,IF(SUM($C751:AJ751)&gt;0,AI431+1,0),0)</f>
        <v>0</v>
      </c>
      <c r="AK431" s="159">
        <f>IF(AK$2&lt;=analysis_period,IF(SUM($C751:AK751)&gt;0,AJ431+1,0),0)</f>
        <v>0</v>
      </c>
      <c r="AL431" s="159">
        <f>IF(AL$2&lt;=analysis_period,IF(SUM($C751:AL751)&gt;0,AK431+1,0),0)</f>
        <v>0</v>
      </c>
      <c r="AM431" s="159">
        <f>IF(AM$2&lt;=analysis_period,IF(SUM($C751:AM751)&gt;0,AL431+1,0),0)</f>
        <v>0</v>
      </c>
      <c r="AN431" s="159">
        <f>IF(AN$2&lt;=analysis_period,IF(SUM($C751:AN751)&gt;0,AM431+1,0),0)</f>
        <v>0</v>
      </c>
      <c r="AO431" s="159">
        <f>IF(AO$2&lt;=analysis_period,IF(SUM($C751:AO751)&gt;0,AN431+1,0),0)</f>
        <v>0</v>
      </c>
      <c r="AP431" s="159">
        <f>IF(AP$2&lt;=analysis_period,IF(SUM($C751:AP751)&gt;0,AO431+1,0),0)</f>
        <v>0</v>
      </c>
    </row>
    <row r="432" spans="1:42" x14ac:dyDescent="0.2">
      <c r="A432" s="4">
        <f>A431+1</f>
        <v>9</v>
      </c>
      <c r="B432" s="4">
        <v>0</v>
      </c>
      <c r="C432" s="159">
        <f>IF(C$2&lt;=analysis_period,IF(SUM($C752:C752)&gt;0,B432+1,0),0)</f>
        <v>0</v>
      </c>
      <c r="D432" s="159">
        <f>IF(D$2&lt;=analysis_period,IF(SUM($C752:D752)&gt;0,C432+1,0),0)</f>
        <v>0</v>
      </c>
      <c r="E432" s="159">
        <f>IF(E$2&lt;=analysis_period,IF(SUM($C752:E752)&gt;0,D432+1,0),0)</f>
        <v>0</v>
      </c>
      <c r="F432" s="159">
        <f>IF(F$2&lt;=analysis_period,IF(SUM($C752:F752)&gt;0,E432+1,0),0)</f>
        <v>0</v>
      </c>
      <c r="G432" s="159">
        <f>IF(G$2&lt;=analysis_period,IF(SUM($C752:G752)&gt;0,F432+1,0),0)</f>
        <v>0</v>
      </c>
      <c r="H432" s="159">
        <f>IF(H$2&lt;=analysis_period,IF(SUM($C752:H752)&gt;0,G432+1,0),0)</f>
        <v>0</v>
      </c>
      <c r="I432" s="159">
        <f>IF(I$2&lt;=analysis_period,IF(SUM($C752:I752)&gt;0,H432+1,0),0)</f>
        <v>0</v>
      </c>
      <c r="J432" s="159">
        <f>IF(J$2&lt;=analysis_period,IF(SUM($C752:J752)&gt;0,I432+1,0),0)</f>
        <v>0</v>
      </c>
      <c r="K432" s="159">
        <f>IF(K$2&lt;=analysis_period,IF(SUM($C752:K752)&gt;0,J432+1,0),0)</f>
        <v>0</v>
      </c>
      <c r="L432" s="159">
        <f>IF(L$2&lt;=analysis_period,IF(SUM($C752:L752)&gt;0,K432+1,0),0)</f>
        <v>0</v>
      </c>
      <c r="M432" s="159">
        <f>IF(M$2&lt;=analysis_period,IF(SUM($C752:M752)&gt;0,L432+1,0),0)</f>
        <v>0</v>
      </c>
      <c r="N432" s="159">
        <f>IF(N$2&lt;=analysis_period,IF(SUM($C752:N752)&gt;0,M432+1,0),0)</f>
        <v>0</v>
      </c>
      <c r="O432" s="159">
        <f>IF(O$2&lt;=analysis_period,IF(SUM($C752:O752)&gt;0,N432+1,0),0)</f>
        <v>0</v>
      </c>
      <c r="P432" s="159">
        <f>IF(P$2&lt;=analysis_period,IF(SUM($C752:P752)&gt;0,O432+1,0),0)</f>
        <v>0</v>
      </c>
      <c r="Q432" s="159">
        <f>IF(Q$2&lt;=analysis_period,IF(SUM($C752:Q752)&gt;0,P432+1,0),0)</f>
        <v>0</v>
      </c>
      <c r="R432" s="159">
        <f>IF(R$2&lt;=analysis_period,IF(SUM($C752:R752)&gt;0,Q432+1,0),0)</f>
        <v>0</v>
      </c>
      <c r="S432" s="159">
        <f>IF(S$2&lt;=analysis_period,IF(SUM($C752:S752)&gt;0,R432+1,0),0)</f>
        <v>0</v>
      </c>
      <c r="T432" s="159">
        <f>IF(T$2&lt;=analysis_period,IF(SUM($C752:T752)&gt;0,S432+1,0),0)</f>
        <v>0</v>
      </c>
      <c r="U432" s="159">
        <f>IF(U$2&lt;=analysis_period,IF(SUM($C752:U752)&gt;0,T432+1,0),0)</f>
        <v>0</v>
      </c>
      <c r="V432" s="159">
        <f>IF(V$2&lt;=analysis_period,IF(SUM($C752:V752)&gt;0,U432+1,0),0)</f>
        <v>0</v>
      </c>
      <c r="W432" s="159">
        <f>IF(W$2&lt;=analysis_period,IF(SUM($C752:W752)&gt;0,V432+1,0),0)</f>
        <v>0</v>
      </c>
      <c r="X432" s="159">
        <f>IF(X$2&lt;=analysis_period,IF(SUM($C752:X752)&gt;0,W432+1,0),0)</f>
        <v>0</v>
      </c>
      <c r="Y432" s="159">
        <f>IF(Y$2&lt;=analysis_period,IF(SUM($C752:Y752)&gt;0,X432+1,0),0)</f>
        <v>0</v>
      </c>
      <c r="Z432" s="159">
        <f>IF(Z$2&lt;=analysis_period,IF(SUM($C752:Z752)&gt;0,Y432+1,0),0)</f>
        <v>0</v>
      </c>
      <c r="AA432" s="159">
        <f>IF(AA$2&lt;=analysis_period,IF(SUM($C752:AA752)&gt;0,Z432+1,0),0)</f>
        <v>0</v>
      </c>
      <c r="AB432" s="159">
        <f>IF(AB$2&lt;=analysis_period,IF(SUM($C752:AB752)&gt;0,AA432+1,0),0)</f>
        <v>0</v>
      </c>
      <c r="AC432" s="159">
        <f>IF(AC$2&lt;=analysis_period,IF(SUM($C752:AC752)&gt;0,AB432+1,0),0)</f>
        <v>0</v>
      </c>
      <c r="AD432" s="159">
        <f>IF(AD$2&lt;=analysis_period,IF(SUM($C752:AD752)&gt;0,AC432+1,0),0)</f>
        <v>0</v>
      </c>
      <c r="AE432" s="159">
        <f>IF(AE$2&lt;=analysis_period,IF(SUM($C752:AE752)&gt;0,AD432+1,0),0)</f>
        <v>0</v>
      </c>
      <c r="AF432" s="159">
        <f>IF(AF$2&lt;=analysis_period,IF(SUM($C752:AF752)&gt;0,AE432+1,0),0)</f>
        <v>0</v>
      </c>
      <c r="AG432" s="159">
        <f>IF(AG$2&lt;=analysis_period,IF(SUM($C752:AG752)&gt;0,AF432+1,0),0)</f>
        <v>0</v>
      </c>
      <c r="AH432" s="159">
        <f>IF(AH$2&lt;=analysis_period,IF(SUM($C752:AH752)&gt;0,AG432+1,0),0)</f>
        <v>0</v>
      </c>
      <c r="AI432" s="159">
        <f>IF(AI$2&lt;=analysis_period,IF(SUM($C752:AI752)&gt;0,AH432+1,0),0)</f>
        <v>0</v>
      </c>
      <c r="AJ432" s="159">
        <f>IF(AJ$2&lt;=analysis_period,IF(SUM($C752:AJ752)&gt;0,AI432+1,0),0)</f>
        <v>0</v>
      </c>
      <c r="AK432" s="159">
        <f>IF(AK$2&lt;=analysis_period,IF(SUM($C752:AK752)&gt;0,AJ432+1,0),0)</f>
        <v>0</v>
      </c>
      <c r="AL432" s="159">
        <f>IF(AL$2&lt;=analysis_period,IF(SUM($C752:AL752)&gt;0,AK432+1,0),0)</f>
        <v>0</v>
      </c>
      <c r="AM432" s="159">
        <f>IF(AM$2&lt;=analysis_period,IF(SUM($C752:AM752)&gt;0,AL432+1,0),0)</f>
        <v>0</v>
      </c>
      <c r="AN432" s="159">
        <f>IF(AN$2&lt;=analysis_period,IF(SUM($C752:AN752)&gt;0,AM432+1,0),0)</f>
        <v>0</v>
      </c>
      <c r="AO432" s="159">
        <f>IF(AO$2&lt;=analysis_period,IF(SUM($C752:AO752)&gt;0,AN432+1,0),0)</f>
        <v>0</v>
      </c>
      <c r="AP432" s="159">
        <f>IF(AP$2&lt;=analysis_period,IF(SUM($C752:AP752)&gt;0,AO432+1,0),0)</f>
        <v>0</v>
      </c>
    </row>
    <row r="433" spans="1:42" x14ac:dyDescent="0.2">
      <c r="A433" s="4">
        <f t="shared" si="171"/>
        <v>10</v>
      </c>
      <c r="B433" s="4">
        <v>0</v>
      </c>
      <c r="C433" s="159">
        <f>IF(C$2&lt;=analysis_period,IF(SUM($C753:C753)&gt;0,B433+1,0),0)</f>
        <v>0</v>
      </c>
      <c r="D433" s="159">
        <f>IF(D$2&lt;=analysis_period,IF(SUM($C753:D753)&gt;0,C433+1,0),0)</f>
        <v>0</v>
      </c>
      <c r="E433" s="159">
        <f>IF(E$2&lt;=analysis_period,IF(SUM($C753:E753)&gt;0,D433+1,0),0)</f>
        <v>0</v>
      </c>
      <c r="F433" s="159">
        <f>IF(F$2&lt;=analysis_period,IF(SUM($C753:F753)&gt;0,E433+1,0),0)</f>
        <v>0</v>
      </c>
      <c r="G433" s="159">
        <f>IF(G$2&lt;=analysis_period,IF(SUM($C753:G753)&gt;0,F433+1,0),0)</f>
        <v>0</v>
      </c>
      <c r="H433" s="159">
        <f>IF(H$2&lt;=analysis_period,IF(SUM($C753:H753)&gt;0,G433+1,0),0)</f>
        <v>0</v>
      </c>
      <c r="I433" s="159">
        <f>IF(I$2&lt;=analysis_period,IF(SUM($C753:I753)&gt;0,H433+1,0),0)</f>
        <v>0</v>
      </c>
      <c r="J433" s="159">
        <f>IF(J$2&lt;=analysis_period,IF(SUM($C753:J753)&gt;0,I433+1,0),0)</f>
        <v>0</v>
      </c>
      <c r="K433" s="159">
        <f>IF(K$2&lt;=analysis_period,IF(SUM($C753:K753)&gt;0,J433+1,0),0)</f>
        <v>0</v>
      </c>
      <c r="L433" s="159">
        <f>IF(L$2&lt;=analysis_period,IF(SUM($C753:L753)&gt;0,K433+1,0),0)</f>
        <v>0</v>
      </c>
      <c r="M433" s="159">
        <f>IF(M$2&lt;=analysis_period,IF(SUM($C753:M753)&gt;0,L433+1,0),0)</f>
        <v>0</v>
      </c>
      <c r="N433" s="159">
        <f>IF(N$2&lt;=analysis_period,IF(SUM($C753:N753)&gt;0,M433+1,0),0)</f>
        <v>0</v>
      </c>
      <c r="O433" s="159">
        <f>IF(O$2&lt;=analysis_period,IF(SUM($C753:O753)&gt;0,N433+1,0),0)</f>
        <v>0</v>
      </c>
      <c r="P433" s="159">
        <f>IF(P$2&lt;=analysis_period,IF(SUM($C753:P753)&gt;0,O433+1,0),0)</f>
        <v>0</v>
      </c>
      <c r="Q433" s="159">
        <f>IF(Q$2&lt;=analysis_period,IF(SUM($C753:Q753)&gt;0,P433+1,0),0)</f>
        <v>0</v>
      </c>
      <c r="R433" s="159">
        <f>IF(R$2&lt;=analysis_period,IF(SUM($C753:R753)&gt;0,Q433+1,0),0)</f>
        <v>0</v>
      </c>
      <c r="S433" s="159">
        <f>IF(S$2&lt;=analysis_period,IF(SUM($C753:S753)&gt;0,R433+1,0),0)</f>
        <v>0</v>
      </c>
      <c r="T433" s="159">
        <f>IF(T$2&lt;=analysis_period,IF(SUM($C753:T753)&gt;0,S433+1,0),0)</f>
        <v>0</v>
      </c>
      <c r="U433" s="159">
        <f>IF(U$2&lt;=analysis_period,IF(SUM($C753:U753)&gt;0,T433+1,0),0)</f>
        <v>0</v>
      </c>
      <c r="V433" s="159">
        <f>IF(V$2&lt;=analysis_period,IF(SUM($C753:V753)&gt;0,U433+1,0),0)</f>
        <v>0</v>
      </c>
      <c r="W433" s="159">
        <f>IF(W$2&lt;=analysis_period,IF(SUM($C753:W753)&gt;0,V433+1,0),0)</f>
        <v>0</v>
      </c>
      <c r="X433" s="159">
        <f>IF(X$2&lt;=analysis_period,IF(SUM($C753:X753)&gt;0,W433+1,0),0)</f>
        <v>0</v>
      </c>
      <c r="Y433" s="159">
        <f>IF(Y$2&lt;=analysis_period,IF(SUM($C753:Y753)&gt;0,X433+1,0),0)</f>
        <v>0</v>
      </c>
      <c r="Z433" s="159">
        <f>IF(Z$2&lt;=analysis_period,IF(SUM($C753:Z753)&gt;0,Y433+1,0),0)</f>
        <v>0</v>
      </c>
      <c r="AA433" s="159">
        <f>IF(AA$2&lt;=analysis_period,IF(SUM($C753:AA753)&gt;0,Z433+1,0),0)</f>
        <v>0</v>
      </c>
      <c r="AB433" s="159">
        <f>IF(AB$2&lt;=analysis_period,IF(SUM($C753:AB753)&gt;0,AA433+1,0),0)</f>
        <v>0</v>
      </c>
      <c r="AC433" s="159">
        <f>IF(AC$2&lt;=analysis_period,IF(SUM($C753:AC753)&gt;0,AB433+1,0),0)</f>
        <v>0</v>
      </c>
      <c r="AD433" s="159">
        <f>IF(AD$2&lt;=analysis_period,IF(SUM($C753:AD753)&gt;0,AC433+1,0),0)</f>
        <v>0</v>
      </c>
      <c r="AE433" s="159">
        <f>IF(AE$2&lt;=analysis_period,IF(SUM($C753:AE753)&gt;0,AD433+1,0),0)</f>
        <v>0</v>
      </c>
      <c r="AF433" s="159">
        <f>IF(AF$2&lt;=analysis_period,IF(SUM($C753:AF753)&gt;0,AE433+1,0),0)</f>
        <v>0</v>
      </c>
      <c r="AG433" s="159">
        <f>IF(AG$2&lt;=analysis_period,IF(SUM($C753:AG753)&gt;0,AF433+1,0),0)</f>
        <v>0</v>
      </c>
      <c r="AH433" s="159">
        <f>IF(AH$2&lt;=analysis_period,IF(SUM($C753:AH753)&gt;0,AG433+1,0),0)</f>
        <v>0</v>
      </c>
      <c r="AI433" s="159">
        <f>IF(AI$2&lt;=analysis_period,IF(SUM($C753:AI753)&gt;0,AH433+1,0),0)</f>
        <v>0</v>
      </c>
      <c r="AJ433" s="159">
        <f>IF(AJ$2&lt;=analysis_period,IF(SUM($C753:AJ753)&gt;0,AI433+1,0),0)</f>
        <v>0</v>
      </c>
      <c r="AK433" s="159">
        <f>IF(AK$2&lt;=analysis_period,IF(SUM($C753:AK753)&gt;0,AJ433+1,0),0)</f>
        <v>0</v>
      </c>
      <c r="AL433" s="159">
        <f>IF(AL$2&lt;=analysis_period,IF(SUM($C753:AL753)&gt;0,AK433+1,0),0)</f>
        <v>0</v>
      </c>
      <c r="AM433" s="159">
        <f>IF(AM$2&lt;=analysis_period,IF(SUM($C753:AM753)&gt;0,AL433+1,0),0)</f>
        <v>0</v>
      </c>
      <c r="AN433" s="159">
        <f>IF(AN$2&lt;=analysis_period,IF(SUM($C753:AN753)&gt;0,AM433+1,0),0)</f>
        <v>0</v>
      </c>
      <c r="AO433" s="159">
        <f>IF(AO$2&lt;=analysis_period,IF(SUM($C753:AO753)&gt;0,AN433+1,0),0)</f>
        <v>0</v>
      </c>
      <c r="AP433" s="159">
        <f>IF(AP$2&lt;=analysis_period,IF(SUM($C753:AP753)&gt;0,AO433+1,0),0)</f>
        <v>0</v>
      </c>
    </row>
    <row r="434" spans="1:42" x14ac:dyDescent="0.2">
      <c r="A434" s="22"/>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row>
    <row r="435" spans="1:42" x14ac:dyDescent="0.2">
      <c r="A435" s="22" t="s">
        <v>66</v>
      </c>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row>
    <row r="436" spans="1:42" x14ac:dyDescent="0.2">
      <c r="A436" s="4">
        <v>1</v>
      </c>
      <c r="B436" s="176">
        <f t="shared" ref="B436:B445" si="172">SUM(C436:AP436)</f>
        <v>0</v>
      </c>
      <c r="C436" s="178">
        <f t="shared" ref="C436:AP436" si="173">LOOKUP(C424,$B$368:$AP$368,$B$369:$AP$369)/100*$B744</f>
        <v>0</v>
      </c>
      <c r="D436" s="159">
        <f t="shared" si="173"/>
        <v>0</v>
      </c>
      <c r="E436" s="159">
        <f t="shared" si="173"/>
        <v>0</v>
      </c>
      <c r="F436" s="159">
        <f t="shared" si="173"/>
        <v>0</v>
      </c>
      <c r="G436" s="159">
        <f t="shared" si="173"/>
        <v>0</v>
      </c>
      <c r="H436" s="159">
        <f t="shared" si="173"/>
        <v>0</v>
      </c>
      <c r="I436" s="159">
        <f t="shared" si="173"/>
        <v>0</v>
      </c>
      <c r="J436" s="159">
        <f t="shared" si="173"/>
        <v>0</v>
      </c>
      <c r="K436" s="159">
        <f t="shared" si="173"/>
        <v>0</v>
      </c>
      <c r="L436" s="159">
        <f t="shared" si="173"/>
        <v>0</v>
      </c>
      <c r="M436" s="159">
        <f t="shared" si="173"/>
        <v>0</v>
      </c>
      <c r="N436" s="159">
        <f t="shared" si="173"/>
        <v>0</v>
      </c>
      <c r="O436" s="159">
        <f t="shared" si="173"/>
        <v>0</v>
      </c>
      <c r="P436" s="159">
        <f t="shared" si="173"/>
        <v>0</v>
      </c>
      <c r="Q436" s="159">
        <f t="shared" si="173"/>
        <v>0</v>
      </c>
      <c r="R436" s="159">
        <f t="shared" si="173"/>
        <v>0</v>
      </c>
      <c r="S436" s="159">
        <f t="shared" si="173"/>
        <v>0</v>
      </c>
      <c r="T436" s="159">
        <f t="shared" si="173"/>
        <v>0</v>
      </c>
      <c r="U436" s="159">
        <f t="shared" si="173"/>
        <v>0</v>
      </c>
      <c r="V436" s="159">
        <f t="shared" si="173"/>
        <v>0</v>
      </c>
      <c r="W436" s="159">
        <f t="shared" si="173"/>
        <v>0</v>
      </c>
      <c r="X436" s="159">
        <f t="shared" si="173"/>
        <v>0</v>
      </c>
      <c r="Y436" s="159">
        <f t="shared" si="173"/>
        <v>0</v>
      </c>
      <c r="Z436" s="159">
        <f t="shared" si="173"/>
        <v>0</v>
      </c>
      <c r="AA436" s="159">
        <f t="shared" si="173"/>
        <v>0</v>
      </c>
      <c r="AB436" s="159">
        <f t="shared" si="173"/>
        <v>0</v>
      </c>
      <c r="AC436" s="159">
        <f t="shared" si="173"/>
        <v>0</v>
      </c>
      <c r="AD436" s="159">
        <f t="shared" si="173"/>
        <v>0</v>
      </c>
      <c r="AE436" s="159">
        <f t="shared" si="173"/>
        <v>0</v>
      </c>
      <c r="AF436" s="159">
        <f t="shared" si="173"/>
        <v>0</v>
      </c>
      <c r="AG436" s="159">
        <f t="shared" si="173"/>
        <v>0</v>
      </c>
      <c r="AH436" s="159">
        <f t="shared" si="173"/>
        <v>0</v>
      </c>
      <c r="AI436" s="159">
        <f t="shared" si="173"/>
        <v>0</v>
      </c>
      <c r="AJ436" s="159">
        <f t="shared" si="173"/>
        <v>0</v>
      </c>
      <c r="AK436" s="159">
        <f t="shared" si="173"/>
        <v>0</v>
      </c>
      <c r="AL436" s="159">
        <f t="shared" si="173"/>
        <v>0</v>
      </c>
      <c r="AM436" s="159">
        <f t="shared" si="173"/>
        <v>0</v>
      </c>
      <c r="AN436" s="159">
        <f t="shared" si="173"/>
        <v>0</v>
      </c>
      <c r="AO436" s="159">
        <f t="shared" si="173"/>
        <v>0</v>
      </c>
      <c r="AP436" s="159">
        <f t="shared" si="173"/>
        <v>0</v>
      </c>
    </row>
    <row r="437" spans="1:42" x14ac:dyDescent="0.2">
      <c r="A437" s="4">
        <f>A436+1</f>
        <v>2</v>
      </c>
      <c r="B437" s="176">
        <f t="shared" si="172"/>
        <v>0</v>
      </c>
      <c r="C437" s="178">
        <f t="shared" ref="C437:AP437" si="174">LOOKUP(C425,$B$368:$AP$368,$B$369:$AP$369)/100*$B745</f>
        <v>0</v>
      </c>
      <c r="D437" s="159">
        <f t="shared" si="174"/>
        <v>0</v>
      </c>
      <c r="E437" s="159">
        <f t="shared" si="174"/>
        <v>0</v>
      </c>
      <c r="F437" s="159">
        <f t="shared" si="174"/>
        <v>0</v>
      </c>
      <c r="G437" s="159">
        <f t="shared" si="174"/>
        <v>0</v>
      </c>
      <c r="H437" s="159">
        <f t="shared" si="174"/>
        <v>0</v>
      </c>
      <c r="I437" s="159">
        <f t="shared" si="174"/>
        <v>0</v>
      </c>
      <c r="J437" s="159">
        <f t="shared" si="174"/>
        <v>0</v>
      </c>
      <c r="K437" s="159">
        <f t="shared" si="174"/>
        <v>0</v>
      </c>
      <c r="L437" s="159">
        <f t="shared" si="174"/>
        <v>0</v>
      </c>
      <c r="M437" s="159">
        <f t="shared" si="174"/>
        <v>0</v>
      </c>
      <c r="N437" s="159">
        <f t="shared" si="174"/>
        <v>0</v>
      </c>
      <c r="O437" s="159">
        <f t="shared" si="174"/>
        <v>0</v>
      </c>
      <c r="P437" s="159">
        <f t="shared" si="174"/>
        <v>0</v>
      </c>
      <c r="Q437" s="159">
        <f t="shared" si="174"/>
        <v>0</v>
      </c>
      <c r="R437" s="159">
        <f t="shared" si="174"/>
        <v>0</v>
      </c>
      <c r="S437" s="159">
        <f t="shared" si="174"/>
        <v>0</v>
      </c>
      <c r="T437" s="159">
        <f t="shared" si="174"/>
        <v>0</v>
      </c>
      <c r="U437" s="159">
        <f t="shared" si="174"/>
        <v>0</v>
      </c>
      <c r="V437" s="159">
        <f t="shared" si="174"/>
        <v>0</v>
      </c>
      <c r="W437" s="159">
        <f t="shared" si="174"/>
        <v>0</v>
      </c>
      <c r="X437" s="159">
        <f t="shared" si="174"/>
        <v>0</v>
      </c>
      <c r="Y437" s="159">
        <f t="shared" si="174"/>
        <v>0</v>
      </c>
      <c r="Z437" s="159">
        <f t="shared" si="174"/>
        <v>0</v>
      </c>
      <c r="AA437" s="159">
        <f t="shared" si="174"/>
        <v>0</v>
      </c>
      <c r="AB437" s="159">
        <f t="shared" si="174"/>
        <v>0</v>
      </c>
      <c r="AC437" s="159">
        <f t="shared" si="174"/>
        <v>0</v>
      </c>
      <c r="AD437" s="159">
        <f t="shared" si="174"/>
        <v>0</v>
      </c>
      <c r="AE437" s="159">
        <f t="shared" si="174"/>
        <v>0</v>
      </c>
      <c r="AF437" s="159">
        <f t="shared" si="174"/>
        <v>0</v>
      </c>
      <c r="AG437" s="159">
        <f t="shared" si="174"/>
        <v>0</v>
      </c>
      <c r="AH437" s="159">
        <f t="shared" si="174"/>
        <v>0</v>
      </c>
      <c r="AI437" s="159">
        <f t="shared" si="174"/>
        <v>0</v>
      </c>
      <c r="AJ437" s="159">
        <f t="shared" si="174"/>
        <v>0</v>
      </c>
      <c r="AK437" s="159">
        <f t="shared" si="174"/>
        <v>0</v>
      </c>
      <c r="AL437" s="159">
        <f t="shared" si="174"/>
        <v>0</v>
      </c>
      <c r="AM437" s="159">
        <f t="shared" si="174"/>
        <v>0</v>
      </c>
      <c r="AN437" s="159">
        <f t="shared" si="174"/>
        <v>0</v>
      </c>
      <c r="AO437" s="159">
        <f t="shared" si="174"/>
        <v>0</v>
      </c>
      <c r="AP437" s="159">
        <f t="shared" si="174"/>
        <v>0</v>
      </c>
    </row>
    <row r="438" spans="1:42" x14ac:dyDescent="0.2">
      <c r="A438" s="4">
        <f t="shared" ref="A438:A445" si="175">A437+1</f>
        <v>3</v>
      </c>
      <c r="B438" s="176">
        <f t="shared" si="172"/>
        <v>0</v>
      </c>
      <c r="C438" s="178">
        <f t="shared" ref="C438:AP438" si="176">LOOKUP(C426,$B$368:$AP$368,$B$369:$AP$369)/100*$B746</f>
        <v>0</v>
      </c>
      <c r="D438" s="159">
        <f t="shared" si="176"/>
        <v>0</v>
      </c>
      <c r="E438" s="159">
        <f t="shared" si="176"/>
        <v>0</v>
      </c>
      <c r="F438" s="159">
        <f t="shared" si="176"/>
        <v>0</v>
      </c>
      <c r="G438" s="159">
        <f t="shared" si="176"/>
        <v>0</v>
      </c>
      <c r="H438" s="159">
        <f t="shared" si="176"/>
        <v>0</v>
      </c>
      <c r="I438" s="159">
        <f t="shared" si="176"/>
        <v>0</v>
      </c>
      <c r="J438" s="159">
        <f t="shared" si="176"/>
        <v>0</v>
      </c>
      <c r="K438" s="159">
        <f t="shared" si="176"/>
        <v>0</v>
      </c>
      <c r="L438" s="159">
        <f t="shared" si="176"/>
        <v>0</v>
      </c>
      <c r="M438" s="159">
        <f t="shared" si="176"/>
        <v>0</v>
      </c>
      <c r="N438" s="159">
        <f t="shared" si="176"/>
        <v>0</v>
      </c>
      <c r="O438" s="159">
        <f t="shared" si="176"/>
        <v>0</v>
      </c>
      <c r="P438" s="159">
        <f t="shared" si="176"/>
        <v>0</v>
      </c>
      <c r="Q438" s="159">
        <f t="shared" si="176"/>
        <v>0</v>
      </c>
      <c r="R438" s="159">
        <f t="shared" si="176"/>
        <v>0</v>
      </c>
      <c r="S438" s="159">
        <f t="shared" si="176"/>
        <v>0</v>
      </c>
      <c r="T438" s="159">
        <f t="shared" si="176"/>
        <v>0</v>
      </c>
      <c r="U438" s="159">
        <f t="shared" si="176"/>
        <v>0</v>
      </c>
      <c r="V438" s="159">
        <f t="shared" si="176"/>
        <v>0</v>
      </c>
      <c r="W438" s="159">
        <f t="shared" si="176"/>
        <v>0</v>
      </c>
      <c r="X438" s="159">
        <f t="shared" si="176"/>
        <v>0</v>
      </c>
      <c r="Y438" s="159">
        <f t="shared" si="176"/>
        <v>0</v>
      </c>
      <c r="Z438" s="159">
        <f t="shared" si="176"/>
        <v>0</v>
      </c>
      <c r="AA438" s="159">
        <f t="shared" si="176"/>
        <v>0</v>
      </c>
      <c r="AB438" s="159">
        <f t="shared" si="176"/>
        <v>0</v>
      </c>
      <c r="AC438" s="159">
        <f t="shared" si="176"/>
        <v>0</v>
      </c>
      <c r="AD438" s="159">
        <f t="shared" si="176"/>
        <v>0</v>
      </c>
      <c r="AE438" s="159">
        <f t="shared" si="176"/>
        <v>0</v>
      </c>
      <c r="AF438" s="159">
        <f t="shared" si="176"/>
        <v>0</v>
      </c>
      <c r="AG438" s="159">
        <f t="shared" si="176"/>
        <v>0</v>
      </c>
      <c r="AH438" s="159">
        <f t="shared" si="176"/>
        <v>0</v>
      </c>
      <c r="AI438" s="159">
        <f t="shared" si="176"/>
        <v>0</v>
      </c>
      <c r="AJ438" s="159">
        <f t="shared" si="176"/>
        <v>0</v>
      </c>
      <c r="AK438" s="159">
        <f t="shared" si="176"/>
        <v>0</v>
      </c>
      <c r="AL438" s="159">
        <f t="shared" si="176"/>
        <v>0</v>
      </c>
      <c r="AM438" s="159">
        <f t="shared" si="176"/>
        <v>0</v>
      </c>
      <c r="AN438" s="159">
        <f t="shared" si="176"/>
        <v>0</v>
      </c>
      <c r="AO438" s="159">
        <f t="shared" si="176"/>
        <v>0</v>
      </c>
      <c r="AP438" s="159">
        <f t="shared" si="176"/>
        <v>0</v>
      </c>
    </row>
    <row r="439" spans="1:42" x14ac:dyDescent="0.2">
      <c r="A439" s="4">
        <f t="shared" si="175"/>
        <v>4</v>
      </c>
      <c r="B439" s="176">
        <f t="shared" si="172"/>
        <v>0</v>
      </c>
      <c r="C439" s="178">
        <f t="shared" ref="C439:AP439" si="177">LOOKUP(C427,$B$368:$AP$368,$B$369:$AP$369)/100*$B747</f>
        <v>0</v>
      </c>
      <c r="D439" s="159">
        <f t="shared" si="177"/>
        <v>0</v>
      </c>
      <c r="E439" s="159">
        <f t="shared" si="177"/>
        <v>0</v>
      </c>
      <c r="F439" s="159">
        <f t="shared" si="177"/>
        <v>0</v>
      </c>
      <c r="G439" s="159">
        <f t="shared" si="177"/>
        <v>0</v>
      </c>
      <c r="H439" s="159">
        <f t="shared" si="177"/>
        <v>0</v>
      </c>
      <c r="I439" s="159">
        <f t="shared" si="177"/>
        <v>0</v>
      </c>
      <c r="J439" s="159">
        <f t="shared" si="177"/>
        <v>0</v>
      </c>
      <c r="K439" s="159">
        <f t="shared" si="177"/>
        <v>0</v>
      </c>
      <c r="L439" s="159">
        <f t="shared" si="177"/>
        <v>0</v>
      </c>
      <c r="M439" s="159">
        <f t="shared" si="177"/>
        <v>0</v>
      </c>
      <c r="N439" s="159">
        <f t="shared" si="177"/>
        <v>0</v>
      </c>
      <c r="O439" s="159">
        <f t="shared" si="177"/>
        <v>0</v>
      </c>
      <c r="P439" s="159">
        <f t="shared" si="177"/>
        <v>0</v>
      </c>
      <c r="Q439" s="159">
        <f t="shared" si="177"/>
        <v>0</v>
      </c>
      <c r="R439" s="159">
        <f t="shared" si="177"/>
        <v>0</v>
      </c>
      <c r="S439" s="159">
        <f t="shared" si="177"/>
        <v>0</v>
      </c>
      <c r="T439" s="159">
        <f t="shared" si="177"/>
        <v>0</v>
      </c>
      <c r="U439" s="159">
        <f t="shared" si="177"/>
        <v>0</v>
      </c>
      <c r="V439" s="159">
        <f t="shared" si="177"/>
        <v>0</v>
      </c>
      <c r="W439" s="159">
        <f t="shared" si="177"/>
        <v>0</v>
      </c>
      <c r="X439" s="159">
        <f t="shared" si="177"/>
        <v>0</v>
      </c>
      <c r="Y439" s="159">
        <f t="shared" si="177"/>
        <v>0</v>
      </c>
      <c r="Z439" s="159">
        <f t="shared" si="177"/>
        <v>0</v>
      </c>
      <c r="AA439" s="159">
        <f t="shared" si="177"/>
        <v>0</v>
      </c>
      <c r="AB439" s="159">
        <f t="shared" si="177"/>
        <v>0</v>
      </c>
      <c r="AC439" s="159">
        <f t="shared" si="177"/>
        <v>0</v>
      </c>
      <c r="AD439" s="159">
        <f t="shared" si="177"/>
        <v>0</v>
      </c>
      <c r="AE439" s="159">
        <f t="shared" si="177"/>
        <v>0</v>
      </c>
      <c r="AF439" s="159">
        <f t="shared" si="177"/>
        <v>0</v>
      </c>
      <c r="AG439" s="159">
        <f t="shared" si="177"/>
        <v>0</v>
      </c>
      <c r="AH439" s="159">
        <f t="shared" si="177"/>
        <v>0</v>
      </c>
      <c r="AI439" s="159">
        <f t="shared" si="177"/>
        <v>0</v>
      </c>
      <c r="AJ439" s="159">
        <f t="shared" si="177"/>
        <v>0</v>
      </c>
      <c r="AK439" s="159">
        <f t="shared" si="177"/>
        <v>0</v>
      </c>
      <c r="AL439" s="159">
        <f t="shared" si="177"/>
        <v>0</v>
      </c>
      <c r="AM439" s="159">
        <f t="shared" si="177"/>
        <v>0</v>
      </c>
      <c r="AN439" s="159">
        <f t="shared" si="177"/>
        <v>0</v>
      </c>
      <c r="AO439" s="159">
        <f t="shared" si="177"/>
        <v>0</v>
      </c>
      <c r="AP439" s="159">
        <f t="shared" si="177"/>
        <v>0</v>
      </c>
    </row>
    <row r="440" spans="1:42" x14ac:dyDescent="0.2">
      <c r="A440" s="4">
        <f t="shared" si="175"/>
        <v>5</v>
      </c>
      <c r="B440" s="176">
        <f t="shared" si="172"/>
        <v>0</v>
      </c>
      <c r="C440" s="178">
        <f t="shared" ref="C440:AP440" si="178">LOOKUP(C428,$B$368:$AP$368,$B$369:$AP$369)/100*$B748</f>
        <v>0</v>
      </c>
      <c r="D440" s="159">
        <f t="shared" si="178"/>
        <v>0</v>
      </c>
      <c r="E440" s="159">
        <f t="shared" si="178"/>
        <v>0</v>
      </c>
      <c r="F440" s="159">
        <f t="shared" si="178"/>
        <v>0</v>
      </c>
      <c r="G440" s="159">
        <f t="shared" si="178"/>
        <v>0</v>
      </c>
      <c r="H440" s="159">
        <f t="shared" si="178"/>
        <v>0</v>
      </c>
      <c r="I440" s="159">
        <f t="shared" si="178"/>
        <v>0</v>
      </c>
      <c r="J440" s="159">
        <f t="shared" si="178"/>
        <v>0</v>
      </c>
      <c r="K440" s="159">
        <f t="shared" si="178"/>
        <v>0</v>
      </c>
      <c r="L440" s="159">
        <f t="shared" si="178"/>
        <v>0</v>
      </c>
      <c r="M440" s="159">
        <f t="shared" si="178"/>
        <v>0</v>
      </c>
      <c r="N440" s="159">
        <f t="shared" si="178"/>
        <v>0</v>
      </c>
      <c r="O440" s="159">
        <f t="shared" si="178"/>
        <v>0</v>
      </c>
      <c r="P440" s="159">
        <f t="shared" si="178"/>
        <v>0</v>
      </c>
      <c r="Q440" s="159">
        <f t="shared" si="178"/>
        <v>0</v>
      </c>
      <c r="R440" s="159">
        <f t="shared" si="178"/>
        <v>0</v>
      </c>
      <c r="S440" s="159">
        <f t="shared" si="178"/>
        <v>0</v>
      </c>
      <c r="T440" s="159">
        <f t="shared" si="178"/>
        <v>0</v>
      </c>
      <c r="U440" s="159">
        <f t="shared" si="178"/>
        <v>0</v>
      </c>
      <c r="V440" s="159">
        <f t="shared" si="178"/>
        <v>0</v>
      </c>
      <c r="W440" s="159">
        <f t="shared" si="178"/>
        <v>0</v>
      </c>
      <c r="X440" s="159">
        <f t="shared" si="178"/>
        <v>0</v>
      </c>
      <c r="Y440" s="159">
        <f t="shared" si="178"/>
        <v>0</v>
      </c>
      <c r="Z440" s="159">
        <f t="shared" si="178"/>
        <v>0</v>
      </c>
      <c r="AA440" s="159">
        <f t="shared" si="178"/>
        <v>0</v>
      </c>
      <c r="AB440" s="159">
        <f t="shared" si="178"/>
        <v>0</v>
      </c>
      <c r="AC440" s="159">
        <f t="shared" si="178"/>
        <v>0</v>
      </c>
      <c r="AD440" s="159">
        <f t="shared" si="178"/>
        <v>0</v>
      </c>
      <c r="AE440" s="159">
        <f t="shared" si="178"/>
        <v>0</v>
      </c>
      <c r="AF440" s="159">
        <f t="shared" si="178"/>
        <v>0</v>
      </c>
      <c r="AG440" s="159">
        <f t="shared" si="178"/>
        <v>0</v>
      </c>
      <c r="AH440" s="159">
        <f t="shared" si="178"/>
        <v>0</v>
      </c>
      <c r="AI440" s="159">
        <f t="shared" si="178"/>
        <v>0</v>
      </c>
      <c r="AJ440" s="159">
        <f t="shared" si="178"/>
        <v>0</v>
      </c>
      <c r="AK440" s="159">
        <f t="shared" si="178"/>
        <v>0</v>
      </c>
      <c r="AL440" s="159">
        <f t="shared" si="178"/>
        <v>0</v>
      </c>
      <c r="AM440" s="159">
        <f t="shared" si="178"/>
        <v>0</v>
      </c>
      <c r="AN440" s="159">
        <f t="shared" si="178"/>
        <v>0</v>
      </c>
      <c r="AO440" s="159">
        <f t="shared" si="178"/>
        <v>0</v>
      </c>
      <c r="AP440" s="159">
        <f t="shared" si="178"/>
        <v>0</v>
      </c>
    </row>
    <row r="441" spans="1:42" x14ac:dyDescent="0.2">
      <c r="A441" s="4">
        <f t="shared" si="175"/>
        <v>6</v>
      </c>
      <c r="B441" s="176">
        <f t="shared" si="172"/>
        <v>0</v>
      </c>
      <c r="C441" s="178">
        <f t="shared" ref="C441:AP441" si="179">LOOKUP(C429,$B$368:$AP$368,$B$369:$AP$369)/100*$B749</f>
        <v>0</v>
      </c>
      <c r="D441" s="159">
        <f t="shared" si="179"/>
        <v>0</v>
      </c>
      <c r="E441" s="159">
        <f t="shared" si="179"/>
        <v>0</v>
      </c>
      <c r="F441" s="159">
        <f t="shared" si="179"/>
        <v>0</v>
      </c>
      <c r="G441" s="159">
        <f t="shared" si="179"/>
        <v>0</v>
      </c>
      <c r="H441" s="159">
        <f t="shared" si="179"/>
        <v>0</v>
      </c>
      <c r="I441" s="159">
        <f t="shared" si="179"/>
        <v>0</v>
      </c>
      <c r="J441" s="159">
        <f t="shared" si="179"/>
        <v>0</v>
      </c>
      <c r="K441" s="159">
        <f t="shared" si="179"/>
        <v>0</v>
      </c>
      <c r="L441" s="159">
        <f t="shared" si="179"/>
        <v>0</v>
      </c>
      <c r="M441" s="159">
        <f t="shared" si="179"/>
        <v>0</v>
      </c>
      <c r="N441" s="159">
        <f t="shared" si="179"/>
        <v>0</v>
      </c>
      <c r="O441" s="159">
        <f t="shared" si="179"/>
        <v>0</v>
      </c>
      <c r="P441" s="159">
        <f t="shared" si="179"/>
        <v>0</v>
      </c>
      <c r="Q441" s="159">
        <f t="shared" si="179"/>
        <v>0</v>
      </c>
      <c r="R441" s="159">
        <f t="shared" si="179"/>
        <v>0</v>
      </c>
      <c r="S441" s="159">
        <f t="shared" si="179"/>
        <v>0</v>
      </c>
      <c r="T441" s="159">
        <f t="shared" si="179"/>
        <v>0</v>
      </c>
      <c r="U441" s="159">
        <f t="shared" si="179"/>
        <v>0</v>
      </c>
      <c r="V441" s="159">
        <f t="shared" si="179"/>
        <v>0</v>
      </c>
      <c r="W441" s="159">
        <f t="shared" si="179"/>
        <v>0</v>
      </c>
      <c r="X441" s="159">
        <f t="shared" si="179"/>
        <v>0</v>
      </c>
      <c r="Y441" s="159">
        <f t="shared" si="179"/>
        <v>0</v>
      </c>
      <c r="Z441" s="159">
        <f t="shared" si="179"/>
        <v>0</v>
      </c>
      <c r="AA441" s="159">
        <f t="shared" si="179"/>
        <v>0</v>
      </c>
      <c r="AB441" s="159">
        <f t="shared" si="179"/>
        <v>0</v>
      </c>
      <c r="AC441" s="159">
        <f t="shared" si="179"/>
        <v>0</v>
      </c>
      <c r="AD441" s="159">
        <f t="shared" si="179"/>
        <v>0</v>
      </c>
      <c r="AE441" s="159">
        <f t="shared" si="179"/>
        <v>0</v>
      </c>
      <c r="AF441" s="159">
        <f t="shared" si="179"/>
        <v>0</v>
      </c>
      <c r="AG441" s="159">
        <f t="shared" si="179"/>
        <v>0</v>
      </c>
      <c r="AH441" s="159">
        <f t="shared" si="179"/>
        <v>0</v>
      </c>
      <c r="AI441" s="159">
        <f t="shared" si="179"/>
        <v>0</v>
      </c>
      <c r="AJ441" s="159">
        <f t="shared" si="179"/>
        <v>0</v>
      </c>
      <c r="AK441" s="159">
        <f t="shared" si="179"/>
        <v>0</v>
      </c>
      <c r="AL441" s="159">
        <f t="shared" si="179"/>
        <v>0</v>
      </c>
      <c r="AM441" s="159">
        <f t="shared" si="179"/>
        <v>0</v>
      </c>
      <c r="AN441" s="159">
        <f t="shared" si="179"/>
        <v>0</v>
      </c>
      <c r="AO441" s="159">
        <f t="shared" si="179"/>
        <v>0</v>
      </c>
      <c r="AP441" s="159">
        <f t="shared" si="179"/>
        <v>0</v>
      </c>
    </row>
    <row r="442" spans="1:42" x14ac:dyDescent="0.2">
      <c r="A442" s="4">
        <f t="shared" si="175"/>
        <v>7</v>
      </c>
      <c r="B442" s="176">
        <f t="shared" si="172"/>
        <v>0</v>
      </c>
      <c r="C442" s="178">
        <f t="shared" ref="C442:AP442" si="180">LOOKUP(C430,$B$368:$AP$368,$B$369:$AP$369)/100*$B750</f>
        <v>0</v>
      </c>
      <c r="D442" s="159">
        <f t="shared" si="180"/>
        <v>0</v>
      </c>
      <c r="E442" s="159">
        <f t="shared" si="180"/>
        <v>0</v>
      </c>
      <c r="F442" s="159">
        <f t="shared" si="180"/>
        <v>0</v>
      </c>
      <c r="G442" s="159">
        <f t="shared" si="180"/>
        <v>0</v>
      </c>
      <c r="H442" s="159">
        <f t="shared" si="180"/>
        <v>0</v>
      </c>
      <c r="I442" s="159">
        <f t="shared" si="180"/>
        <v>0</v>
      </c>
      <c r="J442" s="159">
        <f t="shared" si="180"/>
        <v>0</v>
      </c>
      <c r="K442" s="159">
        <f t="shared" si="180"/>
        <v>0</v>
      </c>
      <c r="L442" s="159">
        <f t="shared" si="180"/>
        <v>0</v>
      </c>
      <c r="M442" s="159">
        <f t="shared" si="180"/>
        <v>0</v>
      </c>
      <c r="N442" s="159">
        <f t="shared" si="180"/>
        <v>0</v>
      </c>
      <c r="O442" s="159">
        <f t="shared" si="180"/>
        <v>0</v>
      </c>
      <c r="P442" s="159">
        <f t="shared" si="180"/>
        <v>0</v>
      </c>
      <c r="Q442" s="159">
        <f t="shared" si="180"/>
        <v>0</v>
      </c>
      <c r="R442" s="159">
        <f t="shared" si="180"/>
        <v>0</v>
      </c>
      <c r="S442" s="159">
        <f t="shared" si="180"/>
        <v>0</v>
      </c>
      <c r="T442" s="159">
        <f t="shared" si="180"/>
        <v>0</v>
      </c>
      <c r="U442" s="159">
        <f t="shared" si="180"/>
        <v>0</v>
      </c>
      <c r="V442" s="159">
        <f t="shared" si="180"/>
        <v>0</v>
      </c>
      <c r="W442" s="159">
        <f t="shared" si="180"/>
        <v>0</v>
      </c>
      <c r="X442" s="159">
        <f t="shared" si="180"/>
        <v>0</v>
      </c>
      <c r="Y442" s="159">
        <f t="shared" si="180"/>
        <v>0</v>
      </c>
      <c r="Z442" s="159">
        <f t="shared" si="180"/>
        <v>0</v>
      </c>
      <c r="AA442" s="159">
        <f t="shared" si="180"/>
        <v>0</v>
      </c>
      <c r="AB442" s="159">
        <f t="shared" si="180"/>
        <v>0</v>
      </c>
      <c r="AC442" s="159">
        <f t="shared" si="180"/>
        <v>0</v>
      </c>
      <c r="AD442" s="159">
        <f t="shared" si="180"/>
        <v>0</v>
      </c>
      <c r="AE442" s="159">
        <f t="shared" si="180"/>
        <v>0</v>
      </c>
      <c r="AF442" s="159">
        <f t="shared" si="180"/>
        <v>0</v>
      </c>
      <c r="AG442" s="159">
        <f t="shared" si="180"/>
        <v>0</v>
      </c>
      <c r="AH442" s="159">
        <f t="shared" si="180"/>
        <v>0</v>
      </c>
      <c r="AI442" s="159">
        <f t="shared" si="180"/>
        <v>0</v>
      </c>
      <c r="AJ442" s="159">
        <f t="shared" si="180"/>
        <v>0</v>
      </c>
      <c r="AK442" s="159">
        <f t="shared" si="180"/>
        <v>0</v>
      </c>
      <c r="AL442" s="159">
        <f t="shared" si="180"/>
        <v>0</v>
      </c>
      <c r="AM442" s="159">
        <f t="shared" si="180"/>
        <v>0</v>
      </c>
      <c r="AN442" s="159">
        <f t="shared" si="180"/>
        <v>0</v>
      </c>
      <c r="AO442" s="159">
        <f t="shared" si="180"/>
        <v>0</v>
      </c>
      <c r="AP442" s="159">
        <f t="shared" si="180"/>
        <v>0</v>
      </c>
    </row>
    <row r="443" spans="1:42" x14ac:dyDescent="0.2">
      <c r="A443" s="4">
        <f t="shared" si="175"/>
        <v>8</v>
      </c>
      <c r="B443" s="176">
        <f t="shared" si="172"/>
        <v>0</v>
      </c>
      <c r="C443" s="178">
        <f t="shared" ref="C443:AP443" si="181">LOOKUP(C431,$B$368:$AP$368,$B$369:$AP$369)/100*$B751</f>
        <v>0</v>
      </c>
      <c r="D443" s="159">
        <f t="shared" si="181"/>
        <v>0</v>
      </c>
      <c r="E443" s="159">
        <f t="shared" si="181"/>
        <v>0</v>
      </c>
      <c r="F443" s="159">
        <f t="shared" si="181"/>
        <v>0</v>
      </c>
      <c r="G443" s="159">
        <f t="shared" si="181"/>
        <v>0</v>
      </c>
      <c r="H443" s="159">
        <f t="shared" si="181"/>
        <v>0</v>
      </c>
      <c r="I443" s="159">
        <f t="shared" si="181"/>
        <v>0</v>
      </c>
      <c r="J443" s="159">
        <f t="shared" si="181"/>
        <v>0</v>
      </c>
      <c r="K443" s="159">
        <f t="shared" si="181"/>
        <v>0</v>
      </c>
      <c r="L443" s="159">
        <f t="shared" si="181"/>
        <v>0</v>
      </c>
      <c r="M443" s="159">
        <f t="shared" si="181"/>
        <v>0</v>
      </c>
      <c r="N443" s="159">
        <f t="shared" si="181"/>
        <v>0</v>
      </c>
      <c r="O443" s="159">
        <f t="shared" si="181"/>
        <v>0</v>
      </c>
      <c r="P443" s="159">
        <f t="shared" si="181"/>
        <v>0</v>
      </c>
      <c r="Q443" s="159">
        <f t="shared" si="181"/>
        <v>0</v>
      </c>
      <c r="R443" s="159">
        <f t="shared" si="181"/>
        <v>0</v>
      </c>
      <c r="S443" s="159">
        <f t="shared" si="181"/>
        <v>0</v>
      </c>
      <c r="T443" s="159">
        <f t="shared" si="181"/>
        <v>0</v>
      </c>
      <c r="U443" s="159">
        <f t="shared" si="181"/>
        <v>0</v>
      </c>
      <c r="V443" s="159">
        <f t="shared" si="181"/>
        <v>0</v>
      </c>
      <c r="W443" s="159">
        <f t="shared" si="181"/>
        <v>0</v>
      </c>
      <c r="X443" s="159">
        <f t="shared" si="181"/>
        <v>0</v>
      </c>
      <c r="Y443" s="159">
        <f t="shared" si="181"/>
        <v>0</v>
      </c>
      <c r="Z443" s="159">
        <f t="shared" si="181"/>
        <v>0</v>
      </c>
      <c r="AA443" s="159">
        <f t="shared" si="181"/>
        <v>0</v>
      </c>
      <c r="AB443" s="159">
        <f t="shared" si="181"/>
        <v>0</v>
      </c>
      <c r="AC443" s="159">
        <f t="shared" si="181"/>
        <v>0</v>
      </c>
      <c r="AD443" s="159">
        <f t="shared" si="181"/>
        <v>0</v>
      </c>
      <c r="AE443" s="159">
        <f t="shared" si="181"/>
        <v>0</v>
      </c>
      <c r="AF443" s="159">
        <f t="shared" si="181"/>
        <v>0</v>
      </c>
      <c r="AG443" s="159">
        <f t="shared" si="181"/>
        <v>0</v>
      </c>
      <c r="AH443" s="159">
        <f t="shared" si="181"/>
        <v>0</v>
      </c>
      <c r="AI443" s="159">
        <f t="shared" si="181"/>
        <v>0</v>
      </c>
      <c r="AJ443" s="159">
        <f t="shared" si="181"/>
        <v>0</v>
      </c>
      <c r="AK443" s="159">
        <f t="shared" si="181"/>
        <v>0</v>
      </c>
      <c r="AL443" s="159">
        <f t="shared" si="181"/>
        <v>0</v>
      </c>
      <c r="AM443" s="159">
        <f t="shared" si="181"/>
        <v>0</v>
      </c>
      <c r="AN443" s="159">
        <f t="shared" si="181"/>
        <v>0</v>
      </c>
      <c r="AO443" s="159">
        <f t="shared" si="181"/>
        <v>0</v>
      </c>
      <c r="AP443" s="159">
        <f t="shared" si="181"/>
        <v>0</v>
      </c>
    </row>
    <row r="444" spans="1:42" x14ac:dyDescent="0.2">
      <c r="A444" s="4">
        <f>A443+1</f>
        <v>9</v>
      </c>
      <c r="B444" s="176">
        <f t="shared" si="172"/>
        <v>0</v>
      </c>
      <c r="C444" s="178">
        <f t="shared" ref="C444:AP444" si="182">LOOKUP(C432,$B$368:$AP$368,$B$369:$AP$369)/100*$B752</f>
        <v>0</v>
      </c>
      <c r="D444" s="159">
        <f t="shared" si="182"/>
        <v>0</v>
      </c>
      <c r="E444" s="159">
        <f t="shared" si="182"/>
        <v>0</v>
      </c>
      <c r="F444" s="159">
        <f t="shared" si="182"/>
        <v>0</v>
      </c>
      <c r="G444" s="159">
        <f t="shared" si="182"/>
        <v>0</v>
      </c>
      <c r="H444" s="159">
        <f t="shared" si="182"/>
        <v>0</v>
      </c>
      <c r="I444" s="159">
        <f t="shared" si="182"/>
        <v>0</v>
      </c>
      <c r="J444" s="159">
        <f t="shared" si="182"/>
        <v>0</v>
      </c>
      <c r="K444" s="159">
        <f t="shared" si="182"/>
        <v>0</v>
      </c>
      <c r="L444" s="159">
        <f t="shared" si="182"/>
        <v>0</v>
      </c>
      <c r="M444" s="159">
        <f t="shared" si="182"/>
        <v>0</v>
      </c>
      <c r="N444" s="159">
        <f t="shared" si="182"/>
        <v>0</v>
      </c>
      <c r="O444" s="159">
        <f t="shared" si="182"/>
        <v>0</v>
      </c>
      <c r="P444" s="159">
        <f t="shared" si="182"/>
        <v>0</v>
      </c>
      <c r="Q444" s="159">
        <f t="shared" si="182"/>
        <v>0</v>
      </c>
      <c r="R444" s="159">
        <f t="shared" si="182"/>
        <v>0</v>
      </c>
      <c r="S444" s="159">
        <f t="shared" si="182"/>
        <v>0</v>
      </c>
      <c r="T444" s="159">
        <f t="shared" si="182"/>
        <v>0</v>
      </c>
      <c r="U444" s="159">
        <f t="shared" si="182"/>
        <v>0</v>
      </c>
      <c r="V444" s="159">
        <f t="shared" si="182"/>
        <v>0</v>
      </c>
      <c r="W444" s="159">
        <f t="shared" si="182"/>
        <v>0</v>
      </c>
      <c r="X444" s="159">
        <f t="shared" si="182"/>
        <v>0</v>
      </c>
      <c r="Y444" s="159">
        <f t="shared" si="182"/>
        <v>0</v>
      </c>
      <c r="Z444" s="159">
        <f t="shared" si="182"/>
        <v>0</v>
      </c>
      <c r="AA444" s="159">
        <f t="shared" si="182"/>
        <v>0</v>
      </c>
      <c r="AB444" s="159">
        <f t="shared" si="182"/>
        <v>0</v>
      </c>
      <c r="AC444" s="159">
        <f t="shared" si="182"/>
        <v>0</v>
      </c>
      <c r="AD444" s="159">
        <f t="shared" si="182"/>
        <v>0</v>
      </c>
      <c r="AE444" s="159">
        <f t="shared" si="182"/>
        <v>0</v>
      </c>
      <c r="AF444" s="159">
        <f t="shared" si="182"/>
        <v>0</v>
      </c>
      <c r="AG444" s="159">
        <f t="shared" si="182"/>
        <v>0</v>
      </c>
      <c r="AH444" s="159">
        <f t="shared" si="182"/>
        <v>0</v>
      </c>
      <c r="AI444" s="159">
        <f t="shared" si="182"/>
        <v>0</v>
      </c>
      <c r="AJ444" s="159">
        <f t="shared" si="182"/>
        <v>0</v>
      </c>
      <c r="AK444" s="159">
        <f t="shared" si="182"/>
        <v>0</v>
      </c>
      <c r="AL444" s="159">
        <f t="shared" si="182"/>
        <v>0</v>
      </c>
      <c r="AM444" s="159">
        <f t="shared" si="182"/>
        <v>0</v>
      </c>
      <c r="AN444" s="159">
        <f t="shared" si="182"/>
        <v>0</v>
      </c>
      <c r="AO444" s="159">
        <f t="shared" si="182"/>
        <v>0</v>
      </c>
      <c r="AP444" s="159">
        <f t="shared" si="182"/>
        <v>0</v>
      </c>
    </row>
    <row r="445" spans="1:42" x14ac:dyDescent="0.2">
      <c r="A445" s="4">
        <f t="shared" si="175"/>
        <v>10</v>
      </c>
      <c r="B445" s="176">
        <f t="shared" si="172"/>
        <v>0</v>
      </c>
      <c r="C445" s="177">
        <f t="shared" ref="C445:AP445" si="183">LOOKUP(C433,$B$368:$AP$368,$B$369:$AP$369)/100*$B753</f>
        <v>0</v>
      </c>
      <c r="D445" s="160">
        <f t="shared" si="183"/>
        <v>0</v>
      </c>
      <c r="E445" s="160">
        <f t="shared" si="183"/>
        <v>0</v>
      </c>
      <c r="F445" s="160">
        <f t="shared" si="183"/>
        <v>0</v>
      </c>
      <c r="G445" s="160">
        <f t="shared" si="183"/>
        <v>0</v>
      </c>
      <c r="H445" s="160">
        <f t="shared" si="183"/>
        <v>0</v>
      </c>
      <c r="I445" s="160">
        <f t="shared" si="183"/>
        <v>0</v>
      </c>
      <c r="J445" s="160">
        <f t="shared" si="183"/>
        <v>0</v>
      </c>
      <c r="K445" s="160">
        <f t="shared" si="183"/>
        <v>0</v>
      </c>
      <c r="L445" s="160">
        <f t="shared" si="183"/>
        <v>0</v>
      </c>
      <c r="M445" s="160">
        <f t="shared" si="183"/>
        <v>0</v>
      </c>
      <c r="N445" s="160">
        <f t="shared" si="183"/>
        <v>0</v>
      </c>
      <c r="O445" s="160">
        <f t="shared" si="183"/>
        <v>0</v>
      </c>
      <c r="P445" s="160">
        <f t="shared" si="183"/>
        <v>0</v>
      </c>
      <c r="Q445" s="160">
        <f t="shared" si="183"/>
        <v>0</v>
      </c>
      <c r="R445" s="160">
        <f t="shared" si="183"/>
        <v>0</v>
      </c>
      <c r="S445" s="160">
        <f t="shared" si="183"/>
        <v>0</v>
      </c>
      <c r="T445" s="160">
        <f t="shared" si="183"/>
        <v>0</v>
      </c>
      <c r="U445" s="160">
        <f t="shared" si="183"/>
        <v>0</v>
      </c>
      <c r="V445" s="160">
        <f t="shared" si="183"/>
        <v>0</v>
      </c>
      <c r="W445" s="160">
        <f t="shared" si="183"/>
        <v>0</v>
      </c>
      <c r="X445" s="160">
        <f t="shared" si="183"/>
        <v>0</v>
      </c>
      <c r="Y445" s="160">
        <f t="shared" si="183"/>
        <v>0</v>
      </c>
      <c r="Z445" s="160">
        <f t="shared" si="183"/>
        <v>0</v>
      </c>
      <c r="AA445" s="160">
        <f t="shared" si="183"/>
        <v>0</v>
      </c>
      <c r="AB445" s="160">
        <f t="shared" si="183"/>
        <v>0</v>
      </c>
      <c r="AC445" s="160">
        <f t="shared" si="183"/>
        <v>0</v>
      </c>
      <c r="AD445" s="160">
        <f t="shared" si="183"/>
        <v>0</v>
      </c>
      <c r="AE445" s="160">
        <f t="shared" si="183"/>
        <v>0</v>
      </c>
      <c r="AF445" s="160">
        <f t="shared" si="183"/>
        <v>0</v>
      </c>
      <c r="AG445" s="160">
        <f t="shared" si="183"/>
        <v>0</v>
      </c>
      <c r="AH445" s="160">
        <f t="shared" si="183"/>
        <v>0</v>
      </c>
      <c r="AI445" s="160">
        <f t="shared" si="183"/>
        <v>0</v>
      </c>
      <c r="AJ445" s="160">
        <f t="shared" si="183"/>
        <v>0</v>
      </c>
      <c r="AK445" s="160">
        <f t="shared" si="183"/>
        <v>0</v>
      </c>
      <c r="AL445" s="160">
        <f t="shared" si="183"/>
        <v>0</v>
      </c>
      <c r="AM445" s="160">
        <f t="shared" si="183"/>
        <v>0</v>
      </c>
      <c r="AN445" s="160">
        <f t="shared" si="183"/>
        <v>0</v>
      </c>
      <c r="AO445" s="160">
        <f t="shared" si="183"/>
        <v>0</v>
      </c>
      <c r="AP445" s="160">
        <f t="shared" si="183"/>
        <v>0</v>
      </c>
    </row>
    <row r="446" spans="1:42" ht="12" customHeight="1" x14ac:dyDescent="0.2">
      <c r="A446" s="27" t="s">
        <v>13</v>
      </c>
      <c r="B446" s="15"/>
      <c r="C446" s="159">
        <f>SUM(C436:C445)</f>
        <v>0</v>
      </c>
      <c r="D446" s="159">
        <f t="shared" ref="D446:AP446" si="184">SUM(D436:D445)</f>
        <v>0</v>
      </c>
      <c r="E446" s="159">
        <f t="shared" si="184"/>
        <v>0</v>
      </c>
      <c r="F446" s="159">
        <f t="shared" si="184"/>
        <v>0</v>
      </c>
      <c r="G446" s="159">
        <f t="shared" si="184"/>
        <v>0</v>
      </c>
      <c r="H446" s="159">
        <f t="shared" si="184"/>
        <v>0</v>
      </c>
      <c r="I446" s="159">
        <f t="shared" si="184"/>
        <v>0</v>
      </c>
      <c r="J446" s="159">
        <f t="shared" si="184"/>
        <v>0</v>
      </c>
      <c r="K446" s="159">
        <f t="shared" si="184"/>
        <v>0</v>
      </c>
      <c r="L446" s="159">
        <f t="shared" si="184"/>
        <v>0</v>
      </c>
      <c r="M446" s="159">
        <f t="shared" si="184"/>
        <v>0</v>
      </c>
      <c r="N446" s="159">
        <f t="shared" si="184"/>
        <v>0</v>
      </c>
      <c r="O446" s="159">
        <f t="shared" si="184"/>
        <v>0</v>
      </c>
      <c r="P446" s="159">
        <f t="shared" si="184"/>
        <v>0</v>
      </c>
      <c r="Q446" s="159">
        <f t="shared" si="184"/>
        <v>0</v>
      </c>
      <c r="R446" s="159">
        <f t="shared" si="184"/>
        <v>0</v>
      </c>
      <c r="S446" s="159">
        <f t="shared" si="184"/>
        <v>0</v>
      </c>
      <c r="T446" s="159">
        <f t="shared" si="184"/>
        <v>0</v>
      </c>
      <c r="U446" s="159">
        <f t="shared" si="184"/>
        <v>0</v>
      </c>
      <c r="V446" s="159">
        <f t="shared" si="184"/>
        <v>0</v>
      </c>
      <c r="W446" s="159">
        <f t="shared" si="184"/>
        <v>0</v>
      </c>
      <c r="X446" s="159">
        <f t="shared" si="184"/>
        <v>0</v>
      </c>
      <c r="Y446" s="159">
        <f t="shared" si="184"/>
        <v>0</v>
      </c>
      <c r="Z446" s="159">
        <f t="shared" si="184"/>
        <v>0</v>
      </c>
      <c r="AA446" s="159">
        <f t="shared" si="184"/>
        <v>0</v>
      </c>
      <c r="AB446" s="159">
        <f t="shared" si="184"/>
        <v>0</v>
      </c>
      <c r="AC446" s="159">
        <f t="shared" si="184"/>
        <v>0</v>
      </c>
      <c r="AD446" s="159">
        <f t="shared" si="184"/>
        <v>0</v>
      </c>
      <c r="AE446" s="159">
        <f t="shared" si="184"/>
        <v>0</v>
      </c>
      <c r="AF446" s="159">
        <f t="shared" si="184"/>
        <v>0</v>
      </c>
      <c r="AG446" s="159">
        <f t="shared" si="184"/>
        <v>0</v>
      </c>
      <c r="AH446" s="159">
        <f t="shared" si="184"/>
        <v>0</v>
      </c>
      <c r="AI446" s="159">
        <f t="shared" si="184"/>
        <v>0</v>
      </c>
      <c r="AJ446" s="159">
        <f t="shared" si="184"/>
        <v>0</v>
      </c>
      <c r="AK446" s="159">
        <f t="shared" si="184"/>
        <v>0</v>
      </c>
      <c r="AL446" s="159">
        <f t="shared" si="184"/>
        <v>0</v>
      </c>
      <c r="AM446" s="159">
        <f t="shared" si="184"/>
        <v>0</v>
      </c>
      <c r="AN446" s="159">
        <f t="shared" si="184"/>
        <v>0</v>
      </c>
      <c r="AO446" s="159">
        <f t="shared" si="184"/>
        <v>0</v>
      </c>
      <c r="AP446" s="159">
        <f t="shared" si="184"/>
        <v>0</v>
      </c>
    </row>
    <row r="447" spans="1:42" x14ac:dyDescent="0.2">
      <c r="A447" s="22"/>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row>
    <row r="448" spans="1:42" x14ac:dyDescent="0.2">
      <c r="A448" s="20" t="s">
        <v>82</v>
      </c>
    </row>
    <row r="449" spans="1:17" x14ac:dyDescent="0.2">
      <c r="A449" s="4" t="s">
        <v>21</v>
      </c>
      <c r="G449" s="360" t="s">
        <v>51</v>
      </c>
      <c r="H449" s="361"/>
      <c r="I449" s="361"/>
      <c r="J449" s="362"/>
      <c r="K449" s="363" t="s">
        <v>52</v>
      </c>
      <c r="L449" s="364"/>
    </row>
    <row r="450" spans="1:17" ht="51" x14ac:dyDescent="0.2">
      <c r="B450" s="14" t="s">
        <v>41</v>
      </c>
      <c r="C450" s="14" t="s">
        <v>37</v>
      </c>
      <c r="D450" s="14" t="s">
        <v>39</v>
      </c>
      <c r="E450" s="24" t="s">
        <v>40</v>
      </c>
      <c r="F450" s="14" t="s">
        <v>42</v>
      </c>
      <c r="G450" s="14" t="s">
        <v>46</v>
      </c>
      <c r="H450" s="14" t="s">
        <v>48</v>
      </c>
      <c r="I450" s="52" t="s">
        <v>47</v>
      </c>
      <c r="J450" s="14" t="s">
        <v>49</v>
      </c>
      <c r="K450" s="14" t="s">
        <v>47</v>
      </c>
      <c r="L450" s="140" t="s">
        <v>49</v>
      </c>
      <c r="M450" s="25" t="s">
        <v>53</v>
      </c>
      <c r="N450" s="25" t="s">
        <v>54</v>
      </c>
      <c r="O450" s="14" t="s">
        <v>43</v>
      </c>
      <c r="P450" s="139" t="s">
        <v>73</v>
      </c>
      <c r="Q450" s="14" t="s">
        <v>74</v>
      </c>
    </row>
    <row r="451" spans="1:17" x14ac:dyDescent="0.2">
      <c r="A451" s="22" t="str">
        <f t="shared" ref="A451:A456" si="185">A315</f>
        <v>5-yr MACRS</v>
      </c>
      <c r="B451" s="210">
        <f>IF(Inputs!$C$135=0,0,depr_alloc_macrs_5_percent*100/Inputs!$C$135)</f>
        <v>92.783505154639172</v>
      </c>
      <c r="C451" s="119">
        <f>$B$76*depr_alloc_macrs_5_percent/100</f>
        <v>100790799.75</v>
      </c>
      <c r="D451" s="119">
        <f t="shared" ref="D451:E457" si="186">$B451/100*D$458</f>
        <v>0</v>
      </c>
      <c r="E451" s="119">
        <f t="shared" si="186"/>
        <v>0</v>
      </c>
      <c r="F451" s="121">
        <f>C451-D451-E451</f>
        <v>100790799.75</v>
      </c>
      <c r="G451" s="122">
        <f>IF(depr_itc_fed_macrs_5="Yes",F451,0)</f>
        <v>100790799.75</v>
      </c>
      <c r="H451" s="132">
        <f t="shared" ref="H451:H457" si="187">IF($G$458=0,0,G451/$G$458)*100</f>
        <v>100</v>
      </c>
      <c r="I451" s="125">
        <f t="shared" ref="I451:I457" si="188">$I$458*H451/100</f>
        <v>30237239.924999997</v>
      </c>
      <c r="J451" s="126">
        <f>I451*0.5</f>
        <v>15118619.962499999</v>
      </c>
      <c r="K451" s="121">
        <f t="shared" ref="K451:K457" si="189">H451/100*$K$458</f>
        <v>0</v>
      </c>
      <c r="L451" s="121">
        <f>K451*0.5</f>
        <v>0</v>
      </c>
      <c r="M451" s="119">
        <f t="shared" ref="M451:M457" si="190">IF(itc_sta_amount_deprbas_fed="Yes",L315,0)+IF(itc_sta_percent_deprbas_fed="Yes",J315,0)</f>
        <v>0</v>
      </c>
      <c r="N451" s="119">
        <f t="shared" ref="N451:N457" si="191">IF(itc_fed_amount_deprbas_fed="Yes",L451,0)+IF(itc_fed_percent_deprbas_fed="Yes",J451,0)</f>
        <v>15118619.962499999</v>
      </c>
      <c r="O451" s="127">
        <f t="shared" ref="O451:O455" si="192">F451-M451-N451</f>
        <v>85672179.787499994</v>
      </c>
      <c r="P451" s="119">
        <f>IF(depr_bonus_fed_macrs_5="Yes",O451*depr_bonus_fed/100,0)</f>
        <v>0</v>
      </c>
      <c r="Q451" s="121">
        <f>O451-P451</f>
        <v>85672179.787499994</v>
      </c>
    </row>
    <row r="452" spans="1:17" x14ac:dyDescent="0.2">
      <c r="A452" s="22" t="str">
        <f t="shared" si="185"/>
        <v>15-yr MACRS</v>
      </c>
      <c r="B452" s="210">
        <f>IF(Inputs!$C$135=0,0,depr_alloc_macrs_15_percent*100/Inputs!$C$135)</f>
        <v>1.5463917525773196</v>
      </c>
      <c r="C452" s="119">
        <f>$B$76*depr_alloc_macrs_15_percent/100</f>
        <v>1679846.6625000001</v>
      </c>
      <c r="D452" s="119">
        <f t="shared" si="186"/>
        <v>0</v>
      </c>
      <c r="E452" s="119">
        <f t="shared" si="186"/>
        <v>0</v>
      </c>
      <c r="F452" s="121">
        <f t="shared" ref="F452:F455" si="193">C452-D452-E452</f>
        <v>1679846.6625000001</v>
      </c>
      <c r="G452" s="123">
        <f>IF(depr_itc_fed_macrs_15="Yes",F452,0)</f>
        <v>0</v>
      </c>
      <c r="H452" s="133">
        <f t="shared" si="187"/>
        <v>0</v>
      </c>
      <c r="I452" s="119">
        <f t="shared" si="188"/>
        <v>0</v>
      </c>
      <c r="J452" s="128">
        <f t="shared" ref="J452:J457" si="194">I452*0.5</f>
        <v>0</v>
      </c>
      <c r="K452" s="121">
        <f t="shared" si="189"/>
        <v>0</v>
      </c>
      <c r="L452" s="121">
        <f t="shared" ref="L452:L457" si="195">K452*0.5</f>
        <v>0</v>
      </c>
      <c r="M452" s="119">
        <f t="shared" si="190"/>
        <v>0</v>
      </c>
      <c r="N452" s="119">
        <f t="shared" si="191"/>
        <v>0</v>
      </c>
      <c r="O452" s="121">
        <f t="shared" si="192"/>
        <v>1679846.6625000001</v>
      </c>
      <c r="P452" s="119">
        <f>IF(depr_bonus_fed_macrs_15="Yes",O452*depr_bonus_fed/100,0)</f>
        <v>0</v>
      </c>
      <c r="Q452" s="121">
        <f t="shared" ref="Q452:Q455" si="196">O452-P452</f>
        <v>1679846.6625000001</v>
      </c>
    </row>
    <row r="453" spans="1:17" x14ac:dyDescent="0.2">
      <c r="A453" s="22" t="str">
        <f t="shared" si="185"/>
        <v>5-yr SL</v>
      </c>
      <c r="B453" s="210">
        <f>IF(Inputs!$C$135=0,0,depr_alloc_sl_5_percent*100/Inputs!$C$135)</f>
        <v>0</v>
      </c>
      <c r="C453" s="119">
        <f>$B$76*depr_alloc_sl_5_percent/100</f>
        <v>0</v>
      </c>
      <c r="D453" s="119">
        <f t="shared" si="186"/>
        <v>0</v>
      </c>
      <c r="E453" s="119">
        <f t="shared" si="186"/>
        <v>0</v>
      </c>
      <c r="F453" s="121">
        <f t="shared" si="193"/>
        <v>0</v>
      </c>
      <c r="G453" s="123">
        <f>IF(depr_itc_fed_sl_5="Yes",F453,0)</f>
        <v>0</v>
      </c>
      <c r="H453" s="133">
        <f t="shared" si="187"/>
        <v>0</v>
      </c>
      <c r="I453" s="119">
        <f t="shared" si="188"/>
        <v>0</v>
      </c>
      <c r="J453" s="128">
        <f t="shared" si="194"/>
        <v>0</v>
      </c>
      <c r="K453" s="121">
        <f t="shared" si="189"/>
        <v>0</v>
      </c>
      <c r="L453" s="121">
        <f t="shared" si="195"/>
        <v>0</v>
      </c>
      <c r="M453" s="119">
        <f t="shared" si="190"/>
        <v>0</v>
      </c>
      <c r="N453" s="119">
        <f t="shared" si="191"/>
        <v>0</v>
      </c>
      <c r="O453" s="121">
        <f t="shared" si="192"/>
        <v>0</v>
      </c>
      <c r="P453" s="119">
        <f>IF(depr_bonus_fed_sl_5="Yes",O453*depr_bonus_fed/100,0)</f>
        <v>0</v>
      </c>
      <c r="Q453" s="121">
        <f t="shared" si="196"/>
        <v>0</v>
      </c>
    </row>
    <row r="454" spans="1:17" x14ac:dyDescent="0.2">
      <c r="A454" s="22" t="str">
        <f t="shared" si="185"/>
        <v>15-yr SL</v>
      </c>
      <c r="B454" s="210">
        <f>IF(Inputs!$C$135=0,0,depr_alloc_sl_15_percent*100/Inputs!$C$135)</f>
        <v>2.5773195876288661</v>
      </c>
      <c r="C454" s="119">
        <f>$B$76*depr_alloc_sl_15_percent/100</f>
        <v>2799744.4375</v>
      </c>
      <c r="D454" s="119">
        <f t="shared" si="186"/>
        <v>0</v>
      </c>
      <c r="E454" s="119">
        <f t="shared" si="186"/>
        <v>0</v>
      </c>
      <c r="F454" s="121">
        <f t="shared" si="193"/>
        <v>2799744.4375</v>
      </c>
      <c r="G454" s="123">
        <f>IF(depr_itc_fed_sl_15="Yes",F454,0)</f>
        <v>0</v>
      </c>
      <c r="H454" s="133">
        <f t="shared" si="187"/>
        <v>0</v>
      </c>
      <c r="I454" s="119">
        <f t="shared" si="188"/>
        <v>0</v>
      </c>
      <c r="J454" s="128">
        <f t="shared" si="194"/>
        <v>0</v>
      </c>
      <c r="K454" s="121">
        <f t="shared" si="189"/>
        <v>0</v>
      </c>
      <c r="L454" s="121">
        <f t="shared" si="195"/>
        <v>0</v>
      </c>
      <c r="M454" s="119">
        <f t="shared" si="190"/>
        <v>0</v>
      </c>
      <c r="N454" s="119">
        <f t="shared" si="191"/>
        <v>0</v>
      </c>
      <c r="O454" s="121">
        <f t="shared" si="192"/>
        <v>2799744.4375</v>
      </c>
      <c r="P454" s="119">
        <f>IF(depr_bonus_fed_sl_15="Yes",O454*depr_bonus_fed/100,0)</f>
        <v>0</v>
      </c>
      <c r="Q454" s="121">
        <f t="shared" si="196"/>
        <v>2799744.4375</v>
      </c>
    </row>
    <row r="455" spans="1:17" x14ac:dyDescent="0.2">
      <c r="A455" s="22" t="str">
        <f t="shared" si="185"/>
        <v>20-yr SL</v>
      </c>
      <c r="B455" s="210">
        <f>IF(Inputs!$C$135=0,0,depr_alloc_sl_20_percent*100/Inputs!$C$135)</f>
        <v>3.0927835051546393</v>
      </c>
      <c r="C455" s="119">
        <f>$B$76*depr_alloc_sl_20_percent/100</f>
        <v>3359693.3250000002</v>
      </c>
      <c r="D455" s="119">
        <f t="shared" si="186"/>
        <v>0</v>
      </c>
      <c r="E455" s="119">
        <f t="shared" si="186"/>
        <v>0</v>
      </c>
      <c r="F455" s="121">
        <f t="shared" si="193"/>
        <v>3359693.3250000002</v>
      </c>
      <c r="G455" s="123">
        <f>IF(depr_itc_fed_sl_20="Yes",F455,0)</f>
        <v>0</v>
      </c>
      <c r="H455" s="133">
        <f t="shared" si="187"/>
        <v>0</v>
      </c>
      <c r="I455" s="119">
        <f t="shared" si="188"/>
        <v>0</v>
      </c>
      <c r="J455" s="128">
        <f t="shared" si="194"/>
        <v>0</v>
      </c>
      <c r="K455" s="121">
        <f t="shared" si="189"/>
        <v>0</v>
      </c>
      <c r="L455" s="121">
        <f t="shared" si="195"/>
        <v>0</v>
      </c>
      <c r="M455" s="119">
        <f t="shared" si="190"/>
        <v>0</v>
      </c>
      <c r="N455" s="119">
        <f t="shared" si="191"/>
        <v>0</v>
      </c>
      <c r="O455" s="121">
        <f t="shared" si="192"/>
        <v>3359693.3250000002</v>
      </c>
      <c r="P455" s="119">
        <f>IF(depr_bonus_fed_sl_20="Yes",O455*depr_bonus_fed/100,0)</f>
        <v>0</v>
      </c>
      <c r="Q455" s="121">
        <f t="shared" si="196"/>
        <v>3359693.3250000002</v>
      </c>
    </row>
    <row r="456" spans="1:17" x14ac:dyDescent="0.2">
      <c r="A456" s="22" t="str">
        <f t="shared" si="185"/>
        <v>39-yr SL</v>
      </c>
      <c r="B456" s="210">
        <f>IF(Inputs!$C$135=0,0,depr_alloc_sl_39_percent*100/Inputs!$C$135)</f>
        <v>0</v>
      </c>
      <c r="C456" s="119">
        <f>$B$76*depr_alloc_sl_39_percent/100</f>
        <v>0</v>
      </c>
      <c r="D456" s="119">
        <f t="shared" si="186"/>
        <v>0</v>
      </c>
      <c r="E456" s="119">
        <f t="shared" si="186"/>
        <v>0</v>
      </c>
      <c r="F456" s="121">
        <f>C456-D456-E456</f>
        <v>0</v>
      </c>
      <c r="G456" s="123">
        <f>IF(depr_itc_fed_sl_39="Yes",F456,0)</f>
        <v>0</v>
      </c>
      <c r="H456" s="133">
        <f t="shared" si="187"/>
        <v>0</v>
      </c>
      <c r="I456" s="119">
        <f t="shared" si="188"/>
        <v>0</v>
      </c>
      <c r="J456" s="128">
        <f t="shared" si="194"/>
        <v>0</v>
      </c>
      <c r="K456" s="121">
        <f t="shared" si="189"/>
        <v>0</v>
      </c>
      <c r="L456" s="121">
        <f t="shared" si="195"/>
        <v>0</v>
      </c>
      <c r="M456" s="123">
        <f t="shared" si="190"/>
        <v>0</v>
      </c>
      <c r="N456" s="119">
        <f t="shared" si="191"/>
        <v>0</v>
      </c>
      <c r="O456" s="121">
        <f>F456-M456-N456</f>
        <v>0</v>
      </c>
      <c r="P456" s="119">
        <f>IF(depr_bonus_fed_sl_39="Yes",O456*depr_bonus_fed/100,0)</f>
        <v>0</v>
      </c>
      <c r="Q456" s="121">
        <f>O456-P456</f>
        <v>0</v>
      </c>
    </row>
    <row r="457" spans="1:17" x14ac:dyDescent="0.2">
      <c r="A457" s="22" t="s">
        <v>243</v>
      </c>
      <c r="B457" s="211">
        <f>IF(Inputs!$C$135=0,0,depr_alloc_custom_percent*100/Inputs!$C$135)</f>
        <v>0</v>
      </c>
      <c r="C457" s="120">
        <f>$B$76*depr_alloc_custom_percent/100</f>
        <v>0</v>
      </c>
      <c r="D457" s="119">
        <f t="shared" si="186"/>
        <v>0</v>
      </c>
      <c r="E457" s="119">
        <f t="shared" si="186"/>
        <v>0</v>
      </c>
      <c r="F457" s="124">
        <f>C457-D457-E457</f>
        <v>0</v>
      </c>
      <c r="G457" s="123">
        <f>IF(depr_itc_fed_custom="Yes",F457,0)</f>
        <v>0</v>
      </c>
      <c r="H457" s="133">
        <f t="shared" si="187"/>
        <v>0</v>
      </c>
      <c r="I457" s="119">
        <f t="shared" si="188"/>
        <v>0</v>
      </c>
      <c r="J457" s="128">
        <f t="shared" si="194"/>
        <v>0</v>
      </c>
      <c r="K457" s="121">
        <f t="shared" si="189"/>
        <v>0</v>
      </c>
      <c r="L457" s="121">
        <f t="shared" si="195"/>
        <v>0</v>
      </c>
      <c r="M457" s="134">
        <f t="shared" si="190"/>
        <v>0</v>
      </c>
      <c r="N457" s="269">
        <f t="shared" si="191"/>
        <v>0</v>
      </c>
      <c r="O457" s="124">
        <f>F457-M457-N457</f>
        <v>0</v>
      </c>
      <c r="P457" s="120">
        <f>IF(depr_bonus_fed_custom="Yes",O457*depr_bonus_fed/100,0)</f>
        <v>0</v>
      </c>
      <c r="Q457" s="124">
        <f>O457-P457</f>
        <v>0</v>
      </c>
    </row>
    <row r="458" spans="1:17" x14ac:dyDescent="0.2">
      <c r="B458" s="211">
        <f>SUM(B451:B457)</f>
        <v>100</v>
      </c>
      <c r="C458" s="120">
        <f>SUM(C451:C457)</f>
        <v>108630084.175</v>
      </c>
      <c r="D458" s="137">
        <f>B467+B473</f>
        <v>0</v>
      </c>
      <c r="E458" s="138">
        <f>B479</f>
        <v>0</v>
      </c>
      <c r="F458" s="134">
        <f>SUM(F451:F457)</f>
        <v>108630084.175</v>
      </c>
      <c r="G458" s="135">
        <f>SUM(G451:G457)</f>
        <v>100790799.75</v>
      </c>
      <c r="H458" s="136">
        <f>SUM(H451:H457)</f>
        <v>100</v>
      </c>
      <c r="I458" s="137">
        <f>SUM(C597:AP597)</f>
        <v>30237239.924999997</v>
      </c>
      <c r="J458" s="137">
        <f>SUM(J451:J457)</f>
        <v>15118619.962499999</v>
      </c>
      <c r="K458" s="135">
        <f>SUM(C594:AP594)</f>
        <v>0</v>
      </c>
      <c r="L458" s="138">
        <f t="shared" ref="L458:Q458" si="197">SUM(L451:L457)</f>
        <v>0</v>
      </c>
      <c r="M458" s="120">
        <f t="shared" si="197"/>
        <v>0</v>
      </c>
      <c r="N458" s="120">
        <f t="shared" si="197"/>
        <v>15118619.962499999</v>
      </c>
      <c r="O458" s="124">
        <f t="shared" si="197"/>
        <v>93511464.212499991</v>
      </c>
      <c r="P458" s="124">
        <f t="shared" si="197"/>
        <v>0</v>
      </c>
      <c r="Q458" s="124">
        <f t="shared" si="197"/>
        <v>93511464.212499991</v>
      </c>
    </row>
    <row r="460" spans="1:17" x14ac:dyDescent="0.2">
      <c r="A460" s="4" t="s">
        <v>50</v>
      </c>
    </row>
    <row r="461" spans="1:17" x14ac:dyDescent="0.2">
      <c r="A461" s="87" t="str">
        <f>A325</f>
        <v>Investment Based Incentive (IBI)</v>
      </c>
    </row>
    <row r="462" spans="1:17" x14ac:dyDescent="0.2">
      <c r="A462" s="22" t="str">
        <f>A326</f>
        <v>As fixed amount</v>
      </c>
    </row>
    <row r="463" spans="1:17" x14ac:dyDescent="0.2">
      <c r="A463" s="88" t="s">
        <v>4</v>
      </c>
      <c r="B463" s="159">
        <f>IF(ibi_fed_amount_deprbas_fed="Yes",ibi_fed_amount,0)</f>
        <v>0</v>
      </c>
    </row>
    <row r="464" spans="1:17" x14ac:dyDescent="0.2">
      <c r="A464" s="88" t="s">
        <v>5</v>
      </c>
      <c r="B464" s="159">
        <f>IF(ibi_sta_amount_deprbas_fed="Yes",ibi_sta_amount,0)</f>
        <v>0</v>
      </c>
    </row>
    <row r="465" spans="1:2" x14ac:dyDescent="0.2">
      <c r="A465" s="88" t="s">
        <v>162</v>
      </c>
      <c r="B465" s="159">
        <f>IF(ibi_uti_amount_deprbas_fed="Yes",ibi_uti_amount,0)</f>
        <v>0</v>
      </c>
    </row>
    <row r="466" spans="1:2" x14ac:dyDescent="0.2">
      <c r="A466" s="88" t="s">
        <v>163</v>
      </c>
      <c r="B466" s="160">
        <f>IF(ibi_oth_amount_deprbas_fed="Yes",ibi_oth_amount,0)</f>
        <v>0</v>
      </c>
    </row>
    <row r="467" spans="1:2" x14ac:dyDescent="0.2">
      <c r="A467" s="88" t="str">
        <f>A331</f>
        <v>Total</v>
      </c>
      <c r="B467" s="159">
        <f>SUM(B463:B466)</f>
        <v>0</v>
      </c>
    </row>
    <row r="468" spans="1:2" x14ac:dyDescent="0.2">
      <c r="A468" s="22" t="str">
        <f>A332</f>
        <v>As percentage</v>
      </c>
    </row>
    <row r="469" spans="1:2" x14ac:dyDescent="0.2">
      <c r="A469" s="88" t="s">
        <v>4</v>
      </c>
      <c r="B469" s="159">
        <f>IF(ibi_fed_percent_deprbas_fed="Yes",C620,0)</f>
        <v>0</v>
      </c>
    </row>
    <row r="470" spans="1:2" x14ac:dyDescent="0.2">
      <c r="A470" s="88" t="s">
        <v>5</v>
      </c>
      <c r="B470" s="159">
        <f>IF(ibi_sta_percent_deprbas_fed="Yes",C621,0)</f>
        <v>0</v>
      </c>
    </row>
    <row r="471" spans="1:2" x14ac:dyDescent="0.2">
      <c r="A471" s="88" t="s">
        <v>162</v>
      </c>
      <c r="B471" s="159">
        <f>IF(ibi_uti_percent_deprbas_fed="Yes",C622,0)</f>
        <v>0</v>
      </c>
    </row>
    <row r="472" spans="1:2" x14ac:dyDescent="0.2">
      <c r="A472" s="88" t="s">
        <v>163</v>
      </c>
      <c r="B472" s="160">
        <f>IF(ibi_oth_percent_deprbas_fed="Yes",C623,0)</f>
        <v>0</v>
      </c>
    </row>
    <row r="473" spans="1:2" x14ac:dyDescent="0.2">
      <c r="A473" s="88" t="str">
        <f>A337</f>
        <v>Total</v>
      </c>
      <c r="B473" s="159">
        <f>SUM(B469:B472)</f>
        <v>0</v>
      </c>
    </row>
    <row r="474" spans="1:2" x14ac:dyDescent="0.2">
      <c r="A474" s="87" t="str">
        <f>A338</f>
        <v>Capacity Based Incentive (CBI)</v>
      </c>
    </row>
    <row r="475" spans="1:2" x14ac:dyDescent="0.2">
      <c r="A475" s="22" t="s">
        <v>4</v>
      </c>
      <c r="B475" s="159">
        <f>IF(cbi_fed_deprbas_fed="Yes",C628,0)</f>
        <v>0</v>
      </c>
    </row>
    <row r="476" spans="1:2" x14ac:dyDescent="0.2">
      <c r="A476" s="22" t="s">
        <v>5</v>
      </c>
      <c r="B476" s="159">
        <f>IF(cbi_sta_deprbas_fed="Yes",C629,0)</f>
        <v>0</v>
      </c>
    </row>
    <row r="477" spans="1:2" x14ac:dyDescent="0.2">
      <c r="A477" s="22" t="s">
        <v>162</v>
      </c>
      <c r="B477" s="159">
        <f>IF(cbi_uti_deprbas_fed="Yes",C630,0)</f>
        <v>0</v>
      </c>
    </row>
    <row r="478" spans="1:2" x14ac:dyDescent="0.2">
      <c r="A478" s="22" t="s">
        <v>163</v>
      </c>
      <c r="B478" s="160">
        <f>IF(cbi_oth_deprbas_fed="Yes",C631,0)</f>
        <v>0</v>
      </c>
    </row>
    <row r="479" spans="1:2" x14ac:dyDescent="0.2">
      <c r="A479" s="22" t="str">
        <f>A343</f>
        <v>Total CBI</v>
      </c>
      <c r="B479" s="160">
        <f>SUM(B475:B478)</f>
        <v>0</v>
      </c>
    </row>
    <row r="480" spans="1:2" x14ac:dyDescent="0.2">
      <c r="A480" s="87" t="str">
        <f>A344</f>
        <v>Total Basis Reduction</v>
      </c>
      <c r="B480" s="159">
        <f>B467+B473+B479</f>
        <v>0</v>
      </c>
    </row>
    <row r="482" spans="1:42" x14ac:dyDescent="0.2">
      <c r="A482" s="4" t="s">
        <v>69</v>
      </c>
    </row>
    <row r="483" spans="1:42" x14ac:dyDescent="0.2">
      <c r="A483" s="22" t="s">
        <v>44</v>
      </c>
    </row>
    <row r="484" spans="1:42" x14ac:dyDescent="0.2">
      <c r="A484" s="23" t="str">
        <f t="shared" ref="A484:A489" si="198">A451</f>
        <v>5-yr MACRS</v>
      </c>
      <c r="B484" s="166">
        <f t="array" ref="B484">SUM(IF(ISNUMBER(C484:AP484),C484:AP484))</f>
        <v>100</v>
      </c>
      <c r="C484" s="167">
        <f>LOOKUP(C$2,'Depreciation Schedules'!$A$3:$A$42,'Depreciation Schedules'!$B$3:$B$42)</f>
        <v>20</v>
      </c>
      <c r="D484" s="167">
        <f>LOOKUP(D$2,'Depreciation Schedules'!$A$3:$A$42,'Depreciation Schedules'!$B$3:$B$42)</f>
        <v>32</v>
      </c>
      <c r="E484" s="167">
        <f>LOOKUP(E$2,'Depreciation Schedules'!$A$3:$A$42,'Depreciation Schedules'!$B$3:$B$42)</f>
        <v>19.2</v>
      </c>
      <c r="F484" s="167">
        <f>LOOKUP(F$2,'Depreciation Schedules'!$A$3:$A$42,'Depreciation Schedules'!$B$3:$B$42)</f>
        <v>11.52</v>
      </c>
      <c r="G484" s="167">
        <f>LOOKUP(G$2,'Depreciation Schedules'!$A$3:$A$42,'Depreciation Schedules'!$B$3:$B$42)</f>
        <v>11.52</v>
      </c>
      <c r="H484" s="167">
        <f>LOOKUP(H$2,'Depreciation Schedules'!$A$3:$A$42,'Depreciation Schedules'!$B$3:$B$42)</f>
        <v>5.76</v>
      </c>
      <c r="I484" s="167">
        <f>LOOKUP(I$2,'Depreciation Schedules'!$A$3:$A$42,'Depreciation Schedules'!$B$3:$B$42)</f>
        <v>0</v>
      </c>
      <c r="J484" s="167">
        <f>LOOKUP(J$2,'Depreciation Schedules'!$A$3:$A$42,'Depreciation Schedules'!$B$3:$B$42)</f>
        <v>0</v>
      </c>
      <c r="K484" s="167">
        <f>LOOKUP(K$2,'Depreciation Schedules'!$A$3:$A$42,'Depreciation Schedules'!$B$3:$B$42)</f>
        <v>0</v>
      </c>
      <c r="L484" s="167">
        <f>LOOKUP(L$2,'Depreciation Schedules'!$A$3:$A$42,'Depreciation Schedules'!$B$3:$B$42)</f>
        <v>0</v>
      </c>
      <c r="M484" s="167">
        <f>LOOKUP(M$2,'Depreciation Schedules'!$A$3:$A$42,'Depreciation Schedules'!$B$3:$B$42)</f>
        <v>0</v>
      </c>
      <c r="N484" s="167">
        <f>LOOKUP(N$2,'Depreciation Schedules'!$A$3:$A$42,'Depreciation Schedules'!$B$3:$B$42)</f>
        <v>0</v>
      </c>
      <c r="O484" s="167">
        <f>LOOKUP(O$2,'Depreciation Schedules'!$A$3:$A$42,'Depreciation Schedules'!$B$3:$B$42)</f>
        <v>0</v>
      </c>
      <c r="P484" s="167">
        <f>LOOKUP(P$2,'Depreciation Schedules'!$A$3:$A$42,'Depreciation Schedules'!$B$3:$B$42)</f>
        <v>0</v>
      </c>
      <c r="Q484" s="167">
        <f>LOOKUP(Q$2,'Depreciation Schedules'!$A$3:$A$42,'Depreciation Schedules'!$B$3:$B$42)</f>
        <v>0</v>
      </c>
      <c r="R484" s="167">
        <f>LOOKUP(R$2,'Depreciation Schedules'!$A$3:$A$42,'Depreciation Schedules'!$B$3:$B$42)</f>
        <v>0</v>
      </c>
      <c r="S484" s="167">
        <f>LOOKUP(S$2,'Depreciation Schedules'!$A$3:$A$42,'Depreciation Schedules'!$B$3:$B$42)</f>
        <v>0</v>
      </c>
      <c r="T484" s="167">
        <f>LOOKUP(T$2,'Depreciation Schedules'!$A$3:$A$42,'Depreciation Schedules'!$B$3:$B$42)</f>
        <v>0</v>
      </c>
      <c r="U484" s="167">
        <f>LOOKUP(U$2,'Depreciation Schedules'!$A$3:$A$42,'Depreciation Schedules'!$B$3:$B$42)</f>
        <v>0</v>
      </c>
      <c r="V484" s="167">
        <f>LOOKUP(V$2,'Depreciation Schedules'!$A$3:$A$42,'Depreciation Schedules'!$B$3:$B$42)</f>
        <v>0</v>
      </c>
      <c r="W484" s="167">
        <f>LOOKUP(W$2,'Depreciation Schedules'!$A$3:$A$42,'Depreciation Schedules'!$B$3:$B$42)</f>
        <v>0</v>
      </c>
      <c r="X484" s="167">
        <f>LOOKUP(X$2,'Depreciation Schedules'!$A$3:$A$42,'Depreciation Schedules'!$B$3:$B$42)</f>
        <v>0</v>
      </c>
      <c r="Y484" s="167">
        <f>LOOKUP(Y$2,'Depreciation Schedules'!$A$3:$A$42,'Depreciation Schedules'!$B$3:$B$42)</f>
        <v>0</v>
      </c>
      <c r="Z484" s="167">
        <f>LOOKUP(Z$2,'Depreciation Schedules'!$A$3:$A$42,'Depreciation Schedules'!$B$3:$B$42)</f>
        <v>0</v>
      </c>
      <c r="AA484" s="167">
        <f>LOOKUP(AA$2,'Depreciation Schedules'!$A$3:$A$42,'Depreciation Schedules'!$B$3:$B$42)</f>
        <v>0</v>
      </c>
      <c r="AB484" s="167">
        <f>LOOKUP(AB$2,'Depreciation Schedules'!$A$3:$A$42,'Depreciation Schedules'!$B$3:$B$42)</f>
        <v>0</v>
      </c>
      <c r="AC484" s="167">
        <f>LOOKUP(AC$2,'Depreciation Schedules'!$A$3:$A$42,'Depreciation Schedules'!$B$3:$B$42)</f>
        <v>0</v>
      </c>
      <c r="AD484" s="167">
        <f>LOOKUP(AD$2,'Depreciation Schedules'!$A$3:$A$42,'Depreciation Schedules'!$B$3:$B$42)</f>
        <v>0</v>
      </c>
      <c r="AE484" s="167">
        <f>LOOKUP(AE$2,'Depreciation Schedules'!$A$3:$A$42,'Depreciation Schedules'!$B$3:$B$42)</f>
        <v>0</v>
      </c>
      <c r="AF484" s="167">
        <f>LOOKUP(AF$2,'Depreciation Schedules'!$A$3:$A$42,'Depreciation Schedules'!$B$3:$B$42)</f>
        <v>0</v>
      </c>
      <c r="AG484" s="167">
        <f>LOOKUP(AG$2,'Depreciation Schedules'!$A$3:$A$42,'Depreciation Schedules'!$B$3:$B$42)</f>
        <v>0</v>
      </c>
      <c r="AH484" s="167">
        <f>LOOKUP(AH$2,'Depreciation Schedules'!$A$3:$A$42,'Depreciation Schedules'!$B$3:$B$42)</f>
        <v>0</v>
      </c>
      <c r="AI484" s="167">
        <f>LOOKUP(AI$2,'Depreciation Schedules'!$A$3:$A$42,'Depreciation Schedules'!$B$3:$B$42)</f>
        <v>0</v>
      </c>
      <c r="AJ484" s="167">
        <f>LOOKUP(AJ$2,'Depreciation Schedules'!$A$3:$A$42,'Depreciation Schedules'!$B$3:$B$42)</f>
        <v>0</v>
      </c>
      <c r="AK484" s="167">
        <f>LOOKUP(AK$2,'Depreciation Schedules'!$A$3:$A$42,'Depreciation Schedules'!$B$3:$B$42)</f>
        <v>0</v>
      </c>
      <c r="AL484" s="167">
        <f>LOOKUP(AL$2,'Depreciation Schedules'!$A$3:$A$42,'Depreciation Schedules'!$B$3:$B$42)</f>
        <v>0</v>
      </c>
      <c r="AM484" s="167">
        <f>LOOKUP(AM$2,'Depreciation Schedules'!$A$3:$A$42,'Depreciation Schedules'!$B$3:$B$42)</f>
        <v>0</v>
      </c>
      <c r="AN484" s="167">
        <f>LOOKUP(AN$2,'Depreciation Schedules'!$A$3:$A$42,'Depreciation Schedules'!$B$3:$B$42)</f>
        <v>0</v>
      </c>
      <c r="AO484" s="167">
        <f>LOOKUP(AO$2,'Depreciation Schedules'!$A$3:$A$42,'Depreciation Schedules'!$B$3:$B$42)</f>
        <v>0</v>
      </c>
      <c r="AP484" s="167">
        <f>LOOKUP(AP$2,'Depreciation Schedules'!$A$3:$A$42,'Depreciation Schedules'!$B$3:$B$42)</f>
        <v>0</v>
      </c>
    </row>
    <row r="485" spans="1:42" x14ac:dyDescent="0.2">
      <c r="A485" s="23" t="str">
        <f t="shared" si="198"/>
        <v>15-yr MACRS</v>
      </c>
      <c r="B485" s="166">
        <f t="array" ref="B485">SUM(IF(ISNUMBER(C485:AP485),C485:AP485))</f>
        <v>99.990000000000009</v>
      </c>
      <c r="C485" s="167">
        <f>LOOKUP(C$2,'Depreciation Schedules'!$A$3:$A$42,'Depreciation Schedules'!$C$3:$C$42)</f>
        <v>5</v>
      </c>
      <c r="D485" s="167">
        <f>LOOKUP(D$2,'Depreciation Schedules'!$A$3:$A$42,'Depreciation Schedules'!$C$3:$C$42)</f>
        <v>9.5</v>
      </c>
      <c r="E485" s="167">
        <f>LOOKUP(E$2,'Depreciation Schedules'!$A$3:$A$42,'Depreciation Schedules'!$C$3:$C$42)</f>
        <v>8.5500000000000007</v>
      </c>
      <c r="F485" s="167">
        <f>LOOKUP(F$2,'Depreciation Schedules'!$A$3:$A$42,'Depreciation Schedules'!$C$3:$C$42)</f>
        <v>7.7</v>
      </c>
      <c r="G485" s="167">
        <f>LOOKUP(G$2,'Depreciation Schedules'!$A$3:$A$42,'Depreciation Schedules'!$C$3:$C$42)</f>
        <v>6.93</v>
      </c>
      <c r="H485" s="167">
        <f>LOOKUP(H$2,'Depreciation Schedules'!$A$3:$A$42,'Depreciation Schedules'!$C$3:$C$42)</f>
        <v>6.23</v>
      </c>
      <c r="I485" s="167">
        <f>LOOKUP(I$2,'Depreciation Schedules'!$A$3:$A$42,'Depreciation Schedules'!$C$3:$C$42)</f>
        <v>5.9</v>
      </c>
      <c r="J485" s="167">
        <f>LOOKUP(J$2,'Depreciation Schedules'!$A$3:$A$42,'Depreciation Schedules'!$C$3:$C$42)</f>
        <v>5.9</v>
      </c>
      <c r="K485" s="167">
        <f>LOOKUP(K$2,'Depreciation Schedules'!$A$3:$A$42,'Depreciation Schedules'!$C$3:$C$42)</f>
        <v>5.91</v>
      </c>
      <c r="L485" s="167">
        <f>LOOKUP(L$2,'Depreciation Schedules'!$A$3:$A$42,'Depreciation Schedules'!$C$3:$C$42)</f>
        <v>5.9</v>
      </c>
      <c r="M485" s="167">
        <f>LOOKUP(M$2,'Depreciation Schedules'!$A$3:$A$42,'Depreciation Schedules'!$C$3:$C$42)</f>
        <v>5.91</v>
      </c>
      <c r="N485" s="167">
        <f>LOOKUP(N$2,'Depreciation Schedules'!$A$3:$A$42,'Depreciation Schedules'!$C$3:$C$42)</f>
        <v>5.9</v>
      </c>
      <c r="O485" s="167">
        <f>LOOKUP(O$2,'Depreciation Schedules'!$A$3:$A$42,'Depreciation Schedules'!$C$3:$C$42)</f>
        <v>5.91</v>
      </c>
      <c r="P485" s="167">
        <f>LOOKUP(P$2,'Depreciation Schedules'!$A$3:$A$42,'Depreciation Schedules'!$C$3:$C$42)</f>
        <v>5.9</v>
      </c>
      <c r="Q485" s="167">
        <f>LOOKUP(Q$2,'Depreciation Schedules'!$A$3:$A$42,'Depreciation Schedules'!$C$3:$C$42)</f>
        <v>5.9</v>
      </c>
      <c r="R485" s="167">
        <f>LOOKUP(R$2,'Depreciation Schedules'!$A$3:$A$42,'Depreciation Schedules'!$C$3:$C$42)</f>
        <v>2.95</v>
      </c>
      <c r="S485" s="167">
        <f>LOOKUP(S$2,'Depreciation Schedules'!$A$3:$A$42,'Depreciation Schedules'!$C$3:$C$42)</f>
        <v>0</v>
      </c>
      <c r="T485" s="167">
        <f>LOOKUP(T$2,'Depreciation Schedules'!$A$3:$A$42,'Depreciation Schedules'!$C$3:$C$42)</f>
        <v>0</v>
      </c>
      <c r="U485" s="167">
        <f>LOOKUP(U$2,'Depreciation Schedules'!$A$3:$A$42,'Depreciation Schedules'!$C$3:$C$42)</f>
        <v>0</v>
      </c>
      <c r="V485" s="167">
        <f>LOOKUP(V$2,'Depreciation Schedules'!$A$3:$A$42,'Depreciation Schedules'!$C$3:$C$42)</f>
        <v>0</v>
      </c>
      <c r="W485" s="167">
        <f>LOOKUP(W$2,'Depreciation Schedules'!$A$3:$A$42,'Depreciation Schedules'!$C$3:$C$42)</f>
        <v>0</v>
      </c>
      <c r="X485" s="167">
        <f>LOOKUP(X$2,'Depreciation Schedules'!$A$3:$A$42,'Depreciation Schedules'!$C$3:$C$42)</f>
        <v>0</v>
      </c>
      <c r="Y485" s="167">
        <f>LOOKUP(Y$2,'Depreciation Schedules'!$A$3:$A$42,'Depreciation Schedules'!$C$3:$C$42)</f>
        <v>0</v>
      </c>
      <c r="Z485" s="167">
        <f>LOOKUP(Z$2,'Depreciation Schedules'!$A$3:$A$42,'Depreciation Schedules'!$C$3:$C$42)</f>
        <v>0</v>
      </c>
      <c r="AA485" s="167">
        <f>LOOKUP(AA$2,'Depreciation Schedules'!$A$3:$A$42,'Depreciation Schedules'!$C$3:$C$42)</f>
        <v>0</v>
      </c>
      <c r="AB485" s="167">
        <f>LOOKUP(AB$2,'Depreciation Schedules'!$A$3:$A$42,'Depreciation Schedules'!$C$3:$C$42)</f>
        <v>0</v>
      </c>
      <c r="AC485" s="167">
        <f>LOOKUP(AC$2,'Depreciation Schedules'!$A$3:$A$42,'Depreciation Schedules'!$C$3:$C$42)</f>
        <v>0</v>
      </c>
      <c r="AD485" s="167">
        <f>LOOKUP(AD$2,'Depreciation Schedules'!$A$3:$A$42,'Depreciation Schedules'!$C$3:$C$42)</f>
        <v>0</v>
      </c>
      <c r="AE485" s="167">
        <f>LOOKUP(AE$2,'Depreciation Schedules'!$A$3:$A$42,'Depreciation Schedules'!$C$3:$C$42)</f>
        <v>0</v>
      </c>
      <c r="AF485" s="167">
        <f>LOOKUP(AF$2,'Depreciation Schedules'!$A$3:$A$42,'Depreciation Schedules'!$C$3:$C$42)</f>
        <v>0</v>
      </c>
      <c r="AG485" s="167">
        <f>LOOKUP(AG$2,'Depreciation Schedules'!$A$3:$A$42,'Depreciation Schedules'!$C$3:$C$42)</f>
        <v>0</v>
      </c>
      <c r="AH485" s="167">
        <f>LOOKUP(AH$2,'Depreciation Schedules'!$A$3:$A$42,'Depreciation Schedules'!$C$3:$C$42)</f>
        <v>0</v>
      </c>
      <c r="AI485" s="167">
        <f>LOOKUP(AI$2,'Depreciation Schedules'!$A$3:$A$42,'Depreciation Schedules'!$C$3:$C$42)</f>
        <v>0</v>
      </c>
      <c r="AJ485" s="167">
        <f>LOOKUP(AJ$2,'Depreciation Schedules'!$A$3:$A$42,'Depreciation Schedules'!$C$3:$C$42)</f>
        <v>0</v>
      </c>
      <c r="AK485" s="167">
        <f>LOOKUP(AK$2,'Depreciation Schedules'!$A$3:$A$42,'Depreciation Schedules'!$C$3:$C$42)</f>
        <v>0</v>
      </c>
      <c r="AL485" s="167">
        <f>LOOKUP(AL$2,'Depreciation Schedules'!$A$3:$A$42,'Depreciation Schedules'!$C$3:$C$42)</f>
        <v>0</v>
      </c>
      <c r="AM485" s="167">
        <f>LOOKUP(AM$2,'Depreciation Schedules'!$A$3:$A$42,'Depreciation Schedules'!$C$3:$C$42)</f>
        <v>0</v>
      </c>
      <c r="AN485" s="167">
        <f>LOOKUP(AN$2,'Depreciation Schedules'!$A$3:$A$42,'Depreciation Schedules'!$C$3:$C$42)</f>
        <v>0</v>
      </c>
      <c r="AO485" s="167">
        <f>LOOKUP(AO$2,'Depreciation Schedules'!$A$3:$A$42,'Depreciation Schedules'!$C$3:$C$42)</f>
        <v>0</v>
      </c>
      <c r="AP485" s="167">
        <f>LOOKUP(AP$2,'Depreciation Schedules'!$A$3:$A$42,'Depreciation Schedules'!$C$3:$C$42)</f>
        <v>0</v>
      </c>
    </row>
    <row r="486" spans="1:42" x14ac:dyDescent="0.2">
      <c r="A486" s="23" t="str">
        <f t="shared" si="198"/>
        <v>5-yr SL</v>
      </c>
      <c r="B486" s="166">
        <f t="array" ref="B486">SUM(IF(ISNUMBER(C486:AP486),C486:AP486))</f>
        <v>100</v>
      </c>
      <c r="C486" s="167">
        <f>LOOKUP(C$2,'Depreciation Schedules'!$A$3:$A$42,'Depreciation Schedules'!$D$3:$D$42)</f>
        <v>10</v>
      </c>
      <c r="D486" s="167">
        <f>LOOKUP(D$2,'Depreciation Schedules'!$A$3:$A$42,'Depreciation Schedules'!$D$3:$D$42)</f>
        <v>20</v>
      </c>
      <c r="E486" s="167">
        <f>LOOKUP(E$2,'Depreciation Schedules'!$A$3:$A$42,'Depreciation Schedules'!$D$3:$D$42)</f>
        <v>20</v>
      </c>
      <c r="F486" s="167">
        <f>LOOKUP(F$2,'Depreciation Schedules'!$A$3:$A$42,'Depreciation Schedules'!$D$3:$D$42)</f>
        <v>20</v>
      </c>
      <c r="G486" s="167">
        <f>LOOKUP(G$2,'Depreciation Schedules'!$A$3:$A$42,'Depreciation Schedules'!$D$3:$D$42)</f>
        <v>20</v>
      </c>
      <c r="H486" s="167">
        <f>LOOKUP(H$2,'Depreciation Schedules'!$A$3:$A$42,'Depreciation Schedules'!$D$3:$D$42)</f>
        <v>10</v>
      </c>
      <c r="I486" s="167">
        <f>LOOKUP(I$2,'Depreciation Schedules'!$A$3:$A$42,'Depreciation Schedules'!$D$3:$D$42)</f>
        <v>0</v>
      </c>
      <c r="J486" s="167">
        <f>LOOKUP(J$2,'Depreciation Schedules'!$A$3:$A$42,'Depreciation Schedules'!$D$3:$D$42)</f>
        <v>0</v>
      </c>
      <c r="K486" s="167">
        <f>LOOKUP(K$2,'Depreciation Schedules'!$A$3:$A$42,'Depreciation Schedules'!$D$3:$D$42)</f>
        <v>0</v>
      </c>
      <c r="L486" s="167">
        <f>LOOKUP(L$2,'Depreciation Schedules'!$A$3:$A$42,'Depreciation Schedules'!$D$3:$D$42)</f>
        <v>0</v>
      </c>
      <c r="M486" s="167">
        <f>LOOKUP(M$2,'Depreciation Schedules'!$A$3:$A$42,'Depreciation Schedules'!$D$3:$D$42)</f>
        <v>0</v>
      </c>
      <c r="N486" s="167">
        <f>LOOKUP(N$2,'Depreciation Schedules'!$A$3:$A$42,'Depreciation Schedules'!$D$3:$D$42)</f>
        <v>0</v>
      </c>
      <c r="O486" s="167">
        <f>LOOKUP(O$2,'Depreciation Schedules'!$A$3:$A$42,'Depreciation Schedules'!$D$3:$D$42)</f>
        <v>0</v>
      </c>
      <c r="P486" s="167">
        <f>LOOKUP(P$2,'Depreciation Schedules'!$A$3:$A$42,'Depreciation Schedules'!$D$3:$D$42)</f>
        <v>0</v>
      </c>
      <c r="Q486" s="167">
        <f>LOOKUP(Q$2,'Depreciation Schedules'!$A$3:$A$42,'Depreciation Schedules'!$D$3:$D$42)</f>
        <v>0</v>
      </c>
      <c r="R486" s="167">
        <f>LOOKUP(R$2,'Depreciation Schedules'!$A$3:$A$42,'Depreciation Schedules'!$D$3:$D$42)</f>
        <v>0</v>
      </c>
      <c r="S486" s="167">
        <f>LOOKUP(S$2,'Depreciation Schedules'!$A$3:$A$42,'Depreciation Schedules'!$D$3:$D$42)</f>
        <v>0</v>
      </c>
      <c r="T486" s="167">
        <f>LOOKUP(T$2,'Depreciation Schedules'!$A$3:$A$42,'Depreciation Schedules'!$D$3:$D$42)</f>
        <v>0</v>
      </c>
      <c r="U486" s="167">
        <f>LOOKUP(U$2,'Depreciation Schedules'!$A$3:$A$42,'Depreciation Schedules'!$D$3:$D$42)</f>
        <v>0</v>
      </c>
      <c r="V486" s="167">
        <f>LOOKUP(V$2,'Depreciation Schedules'!$A$3:$A$42,'Depreciation Schedules'!$D$3:$D$42)</f>
        <v>0</v>
      </c>
      <c r="W486" s="167">
        <f>LOOKUP(W$2,'Depreciation Schedules'!$A$3:$A$42,'Depreciation Schedules'!$D$3:$D$42)</f>
        <v>0</v>
      </c>
      <c r="X486" s="167">
        <f>LOOKUP(X$2,'Depreciation Schedules'!$A$3:$A$42,'Depreciation Schedules'!$D$3:$D$42)</f>
        <v>0</v>
      </c>
      <c r="Y486" s="167">
        <f>LOOKUP(Y$2,'Depreciation Schedules'!$A$3:$A$42,'Depreciation Schedules'!$D$3:$D$42)</f>
        <v>0</v>
      </c>
      <c r="Z486" s="167">
        <f>LOOKUP(Z$2,'Depreciation Schedules'!$A$3:$A$42,'Depreciation Schedules'!$D$3:$D$42)</f>
        <v>0</v>
      </c>
      <c r="AA486" s="167">
        <f>LOOKUP(AA$2,'Depreciation Schedules'!$A$3:$A$42,'Depreciation Schedules'!$D$3:$D$42)</f>
        <v>0</v>
      </c>
      <c r="AB486" s="167">
        <f>LOOKUP(AB$2,'Depreciation Schedules'!$A$3:$A$42,'Depreciation Schedules'!$D$3:$D$42)</f>
        <v>0</v>
      </c>
      <c r="AC486" s="167">
        <f>LOOKUP(AC$2,'Depreciation Schedules'!$A$3:$A$42,'Depreciation Schedules'!$D$3:$D$42)</f>
        <v>0</v>
      </c>
      <c r="AD486" s="167">
        <f>LOOKUP(AD$2,'Depreciation Schedules'!$A$3:$A$42,'Depreciation Schedules'!$D$3:$D$42)</f>
        <v>0</v>
      </c>
      <c r="AE486" s="167">
        <f>LOOKUP(AE$2,'Depreciation Schedules'!$A$3:$A$42,'Depreciation Schedules'!$D$3:$D$42)</f>
        <v>0</v>
      </c>
      <c r="AF486" s="167">
        <f>LOOKUP(AF$2,'Depreciation Schedules'!$A$3:$A$42,'Depreciation Schedules'!$D$3:$D$42)</f>
        <v>0</v>
      </c>
      <c r="AG486" s="167">
        <f>LOOKUP(AG$2,'Depreciation Schedules'!$A$3:$A$42,'Depreciation Schedules'!$D$3:$D$42)</f>
        <v>0</v>
      </c>
      <c r="AH486" s="167">
        <f>LOOKUP(AH$2,'Depreciation Schedules'!$A$3:$A$42,'Depreciation Schedules'!$D$3:$D$42)</f>
        <v>0</v>
      </c>
      <c r="AI486" s="167">
        <f>LOOKUP(AI$2,'Depreciation Schedules'!$A$3:$A$42,'Depreciation Schedules'!$D$3:$D$42)</f>
        <v>0</v>
      </c>
      <c r="AJ486" s="167">
        <f>LOOKUP(AJ$2,'Depreciation Schedules'!$A$3:$A$42,'Depreciation Schedules'!$D$3:$D$42)</f>
        <v>0</v>
      </c>
      <c r="AK486" s="167">
        <f>LOOKUP(AK$2,'Depreciation Schedules'!$A$3:$A$42,'Depreciation Schedules'!$D$3:$D$42)</f>
        <v>0</v>
      </c>
      <c r="AL486" s="167">
        <f>LOOKUP(AL$2,'Depreciation Schedules'!$A$3:$A$42,'Depreciation Schedules'!$D$3:$D$42)</f>
        <v>0</v>
      </c>
      <c r="AM486" s="167">
        <f>LOOKUP(AM$2,'Depreciation Schedules'!$A$3:$A$42,'Depreciation Schedules'!$D$3:$D$42)</f>
        <v>0</v>
      </c>
      <c r="AN486" s="167">
        <f>LOOKUP(AN$2,'Depreciation Schedules'!$A$3:$A$42,'Depreciation Schedules'!$D$3:$D$42)</f>
        <v>0</v>
      </c>
      <c r="AO486" s="167">
        <f>LOOKUP(AO$2,'Depreciation Schedules'!$A$3:$A$42,'Depreciation Schedules'!$D$3:$D$42)</f>
        <v>0</v>
      </c>
      <c r="AP486" s="167">
        <f>LOOKUP(AP$2,'Depreciation Schedules'!$A$3:$A$42,'Depreciation Schedules'!$D$3:$D$42)</f>
        <v>0</v>
      </c>
    </row>
    <row r="487" spans="1:42" x14ac:dyDescent="0.2">
      <c r="A487" s="23" t="str">
        <f t="shared" si="198"/>
        <v>15-yr SL</v>
      </c>
      <c r="B487" s="166">
        <f t="array" ref="B487">SUM(IF(ISNUMBER(C487:AP487),C487:AP487))</f>
        <v>100.02000000000001</v>
      </c>
      <c r="C487" s="167">
        <f>LOOKUP(C$2,'Depreciation Schedules'!$A$3:$A$42,'Depreciation Schedules'!$E$3:$E$42)</f>
        <v>3.33</v>
      </c>
      <c r="D487" s="167">
        <f>LOOKUP(D$2,'Depreciation Schedules'!$A$3:$A$42,'Depreciation Schedules'!$E$3:$E$42)</f>
        <v>6.67</v>
      </c>
      <c r="E487" s="167">
        <f>LOOKUP(E$2,'Depreciation Schedules'!$A$3:$A$42,'Depreciation Schedules'!$E$3:$E$42)</f>
        <v>6.67</v>
      </c>
      <c r="F487" s="167">
        <f>LOOKUP(F$2,'Depreciation Schedules'!$A$3:$A$42,'Depreciation Schedules'!$E$3:$E$42)</f>
        <v>6.67</v>
      </c>
      <c r="G487" s="167">
        <f>LOOKUP(G$2,'Depreciation Schedules'!$A$3:$A$42,'Depreciation Schedules'!$E$3:$E$42)</f>
        <v>6.67</v>
      </c>
      <c r="H487" s="167">
        <f>LOOKUP(H$2,'Depreciation Schedules'!$A$3:$A$42,'Depreciation Schedules'!$E$3:$E$42)</f>
        <v>6.67</v>
      </c>
      <c r="I487" s="167">
        <f>LOOKUP(I$2,'Depreciation Schedules'!$A$3:$A$42,'Depreciation Schedules'!$E$3:$E$42)</f>
        <v>6.67</v>
      </c>
      <c r="J487" s="167">
        <f>LOOKUP(J$2,'Depreciation Schedules'!$A$3:$A$42,'Depreciation Schedules'!$E$3:$E$42)</f>
        <v>6.67</v>
      </c>
      <c r="K487" s="167">
        <f>LOOKUP(K$2,'Depreciation Schedules'!$A$3:$A$42,'Depreciation Schedules'!$E$3:$E$42)</f>
        <v>6.67</v>
      </c>
      <c r="L487" s="167">
        <f>LOOKUP(L$2,'Depreciation Schedules'!$A$3:$A$42,'Depreciation Schedules'!$E$3:$E$42)</f>
        <v>6.67</v>
      </c>
      <c r="M487" s="167">
        <f>LOOKUP(M$2,'Depreciation Schedules'!$A$3:$A$42,'Depreciation Schedules'!$E$3:$E$42)</f>
        <v>6.67</v>
      </c>
      <c r="N487" s="167">
        <f>LOOKUP(N$2,'Depreciation Schedules'!$A$3:$A$42,'Depreciation Schedules'!$E$3:$E$42)</f>
        <v>6.66</v>
      </c>
      <c r="O487" s="167">
        <f>LOOKUP(O$2,'Depreciation Schedules'!$A$3:$A$42,'Depreciation Schedules'!$E$3:$E$42)</f>
        <v>6.67</v>
      </c>
      <c r="P487" s="167">
        <f>LOOKUP(P$2,'Depreciation Schedules'!$A$3:$A$42,'Depreciation Schedules'!$E$3:$E$42)</f>
        <v>6.66</v>
      </c>
      <c r="Q487" s="167">
        <f>LOOKUP(Q$2,'Depreciation Schedules'!$A$3:$A$42,'Depreciation Schedules'!$E$3:$E$42)</f>
        <v>6.67</v>
      </c>
      <c r="R487" s="167">
        <f>LOOKUP(R$2,'Depreciation Schedules'!$A$3:$A$42,'Depreciation Schedules'!$E$3:$E$42)</f>
        <v>3.33</v>
      </c>
      <c r="S487" s="167">
        <f>LOOKUP(S$2,'Depreciation Schedules'!$A$3:$A$42,'Depreciation Schedules'!$E$3:$E$42)</f>
        <v>0</v>
      </c>
      <c r="T487" s="167">
        <f>LOOKUP(T$2,'Depreciation Schedules'!$A$3:$A$42,'Depreciation Schedules'!$E$3:$E$42)</f>
        <v>0</v>
      </c>
      <c r="U487" s="167">
        <f>LOOKUP(U$2,'Depreciation Schedules'!$A$3:$A$42,'Depreciation Schedules'!$E$3:$E$42)</f>
        <v>0</v>
      </c>
      <c r="V487" s="167">
        <f>LOOKUP(V$2,'Depreciation Schedules'!$A$3:$A$42,'Depreciation Schedules'!$E$3:$E$42)</f>
        <v>0</v>
      </c>
      <c r="W487" s="167">
        <f>LOOKUP(W$2,'Depreciation Schedules'!$A$3:$A$42,'Depreciation Schedules'!$E$3:$E$42)</f>
        <v>0</v>
      </c>
      <c r="X487" s="167">
        <f>LOOKUP(X$2,'Depreciation Schedules'!$A$3:$A$42,'Depreciation Schedules'!$E$3:$E$42)</f>
        <v>0</v>
      </c>
      <c r="Y487" s="167">
        <f>LOOKUP(Y$2,'Depreciation Schedules'!$A$3:$A$42,'Depreciation Schedules'!$E$3:$E$42)</f>
        <v>0</v>
      </c>
      <c r="Z487" s="167">
        <f>LOOKUP(Z$2,'Depreciation Schedules'!$A$3:$A$42,'Depreciation Schedules'!$E$3:$E$42)</f>
        <v>0</v>
      </c>
      <c r="AA487" s="167">
        <f>LOOKUP(AA$2,'Depreciation Schedules'!$A$3:$A$42,'Depreciation Schedules'!$E$3:$E$42)</f>
        <v>0</v>
      </c>
      <c r="AB487" s="167">
        <f>LOOKUP(AB$2,'Depreciation Schedules'!$A$3:$A$42,'Depreciation Schedules'!$E$3:$E$42)</f>
        <v>0</v>
      </c>
      <c r="AC487" s="167">
        <f>LOOKUP(AC$2,'Depreciation Schedules'!$A$3:$A$42,'Depreciation Schedules'!$E$3:$E$42)</f>
        <v>0</v>
      </c>
      <c r="AD487" s="167">
        <f>LOOKUP(AD$2,'Depreciation Schedules'!$A$3:$A$42,'Depreciation Schedules'!$E$3:$E$42)</f>
        <v>0</v>
      </c>
      <c r="AE487" s="167">
        <f>LOOKUP(AE$2,'Depreciation Schedules'!$A$3:$A$42,'Depreciation Schedules'!$E$3:$E$42)</f>
        <v>0</v>
      </c>
      <c r="AF487" s="167">
        <f>LOOKUP(AF$2,'Depreciation Schedules'!$A$3:$A$42,'Depreciation Schedules'!$E$3:$E$42)</f>
        <v>0</v>
      </c>
      <c r="AG487" s="167">
        <f>LOOKUP(AG$2,'Depreciation Schedules'!$A$3:$A$42,'Depreciation Schedules'!$E$3:$E$42)</f>
        <v>0</v>
      </c>
      <c r="AH487" s="167">
        <f>LOOKUP(AH$2,'Depreciation Schedules'!$A$3:$A$42,'Depreciation Schedules'!$E$3:$E$42)</f>
        <v>0</v>
      </c>
      <c r="AI487" s="167">
        <f>LOOKUP(AI$2,'Depreciation Schedules'!$A$3:$A$42,'Depreciation Schedules'!$E$3:$E$42)</f>
        <v>0</v>
      </c>
      <c r="AJ487" s="167">
        <f>LOOKUP(AJ$2,'Depreciation Schedules'!$A$3:$A$42,'Depreciation Schedules'!$E$3:$E$42)</f>
        <v>0</v>
      </c>
      <c r="AK487" s="167">
        <f>LOOKUP(AK$2,'Depreciation Schedules'!$A$3:$A$42,'Depreciation Schedules'!$E$3:$E$42)</f>
        <v>0</v>
      </c>
      <c r="AL487" s="167">
        <f>LOOKUP(AL$2,'Depreciation Schedules'!$A$3:$A$42,'Depreciation Schedules'!$E$3:$E$42)</f>
        <v>0</v>
      </c>
      <c r="AM487" s="167">
        <f>LOOKUP(AM$2,'Depreciation Schedules'!$A$3:$A$42,'Depreciation Schedules'!$E$3:$E$42)</f>
        <v>0</v>
      </c>
      <c r="AN487" s="167">
        <f>LOOKUP(AN$2,'Depreciation Schedules'!$A$3:$A$42,'Depreciation Schedules'!$E$3:$E$42)</f>
        <v>0</v>
      </c>
      <c r="AO487" s="167">
        <f>LOOKUP(AO$2,'Depreciation Schedules'!$A$3:$A$42,'Depreciation Schedules'!$E$3:$E$42)</f>
        <v>0</v>
      </c>
      <c r="AP487" s="167">
        <f>LOOKUP(AP$2,'Depreciation Schedules'!$A$3:$A$42,'Depreciation Schedules'!$E$3:$E$42)</f>
        <v>0</v>
      </c>
    </row>
    <row r="488" spans="1:42" x14ac:dyDescent="0.2">
      <c r="A488" s="23" t="str">
        <f t="shared" si="198"/>
        <v>20-yr SL</v>
      </c>
      <c r="B488" s="166">
        <f t="array" ref="B488">SUM(IF(ISNUMBER(C488:AP488),C488:AP488))</f>
        <v>100</v>
      </c>
      <c r="C488" s="167">
        <f>LOOKUP(C$2,'Depreciation Schedules'!$A$3:$A$42,'Depreciation Schedules'!$F$3:$F$42)</f>
        <v>2.5</v>
      </c>
      <c r="D488" s="167">
        <f>LOOKUP(D$2,'Depreciation Schedules'!$A$3:$A$42,'Depreciation Schedules'!$F$3:$F$42)</f>
        <v>5</v>
      </c>
      <c r="E488" s="167">
        <f>LOOKUP(E$2,'Depreciation Schedules'!$A$3:$A$42,'Depreciation Schedules'!$F$3:$F$42)</f>
        <v>5</v>
      </c>
      <c r="F488" s="167">
        <f>LOOKUP(F$2,'Depreciation Schedules'!$A$3:$A$42,'Depreciation Schedules'!$F$3:$F$42)</f>
        <v>5</v>
      </c>
      <c r="G488" s="167">
        <f>LOOKUP(G$2,'Depreciation Schedules'!$A$3:$A$42,'Depreciation Schedules'!$F$3:$F$42)</f>
        <v>5</v>
      </c>
      <c r="H488" s="167">
        <f>LOOKUP(H$2,'Depreciation Schedules'!$A$3:$A$42,'Depreciation Schedules'!$F$3:$F$42)</f>
        <v>5</v>
      </c>
      <c r="I488" s="167">
        <f>LOOKUP(I$2,'Depreciation Schedules'!$A$3:$A$42,'Depreciation Schedules'!$F$3:$F$42)</f>
        <v>5</v>
      </c>
      <c r="J488" s="167">
        <f>LOOKUP(J$2,'Depreciation Schedules'!$A$3:$A$42,'Depreciation Schedules'!$F$3:$F$42)</f>
        <v>5</v>
      </c>
      <c r="K488" s="167">
        <f>LOOKUP(K$2,'Depreciation Schedules'!$A$3:$A$42,'Depreciation Schedules'!$F$3:$F$42)</f>
        <v>5</v>
      </c>
      <c r="L488" s="167">
        <f>LOOKUP(L$2,'Depreciation Schedules'!$A$3:$A$42,'Depreciation Schedules'!$F$3:$F$42)</f>
        <v>5</v>
      </c>
      <c r="M488" s="167">
        <f>LOOKUP(M$2,'Depreciation Schedules'!$A$3:$A$42,'Depreciation Schedules'!$F$3:$F$42)</f>
        <v>5</v>
      </c>
      <c r="N488" s="167">
        <f>LOOKUP(N$2,'Depreciation Schedules'!$A$3:$A$42,'Depreciation Schedules'!$F$3:$F$42)</f>
        <v>5</v>
      </c>
      <c r="O488" s="167">
        <f>LOOKUP(O$2,'Depreciation Schedules'!$A$3:$A$42,'Depreciation Schedules'!$F$3:$F$42)</f>
        <v>5</v>
      </c>
      <c r="P488" s="167">
        <f>LOOKUP(P$2,'Depreciation Schedules'!$A$3:$A$42,'Depreciation Schedules'!$F$3:$F$42)</f>
        <v>5</v>
      </c>
      <c r="Q488" s="167">
        <f>LOOKUP(Q$2,'Depreciation Schedules'!$A$3:$A$42,'Depreciation Schedules'!$F$3:$F$42)</f>
        <v>5</v>
      </c>
      <c r="R488" s="167">
        <f>LOOKUP(R$2,'Depreciation Schedules'!$A$3:$A$42,'Depreciation Schedules'!$F$3:$F$42)</f>
        <v>5</v>
      </c>
      <c r="S488" s="167">
        <f>LOOKUP(S$2,'Depreciation Schedules'!$A$3:$A$42,'Depreciation Schedules'!$F$3:$F$42)</f>
        <v>5</v>
      </c>
      <c r="T488" s="167">
        <f>LOOKUP(T$2,'Depreciation Schedules'!$A$3:$A$42,'Depreciation Schedules'!$F$3:$F$42)</f>
        <v>5</v>
      </c>
      <c r="U488" s="167">
        <f>LOOKUP(U$2,'Depreciation Schedules'!$A$3:$A$42,'Depreciation Schedules'!$F$3:$F$42)</f>
        <v>5</v>
      </c>
      <c r="V488" s="167">
        <f>LOOKUP(V$2,'Depreciation Schedules'!$A$3:$A$42,'Depreciation Schedules'!$F$3:$F$42)</f>
        <v>5</v>
      </c>
      <c r="W488" s="167">
        <f>LOOKUP(W$2,'Depreciation Schedules'!$A$3:$A$42,'Depreciation Schedules'!$F$3:$F$42)</f>
        <v>2.5</v>
      </c>
      <c r="X488" s="167">
        <f>LOOKUP(X$2,'Depreciation Schedules'!$A$3:$A$42,'Depreciation Schedules'!$F$3:$F$42)</f>
        <v>0</v>
      </c>
      <c r="Y488" s="167">
        <f>LOOKUP(Y$2,'Depreciation Schedules'!$A$3:$A$42,'Depreciation Schedules'!$F$3:$F$42)</f>
        <v>0</v>
      </c>
      <c r="Z488" s="167">
        <f>LOOKUP(Z$2,'Depreciation Schedules'!$A$3:$A$42,'Depreciation Schedules'!$F$3:$F$42)</f>
        <v>0</v>
      </c>
      <c r="AA488" s="167">
        <f>LOOKUP(AA$2,'Depreciation Schedules'!$A$3:$A$42,'Depreciation Schedules'!$F$3:$F$42)</f>
        <v>0</v>
      </c>
      <c r="AB488" s="167">
        <f>LOOKUP(AB$2,'Depreciation Schedules'!$A$3:$A$42,'Depreciation Schedules'!$F$3:$F$42)</f>
        <v>0</v>
      </c>
      <c r="AC488" s="167">
        <f>LOOKUP(AC$2,'Depreciation Schedules'!$A$3:$A$42,'Depreciation Schedules'!$F$3:$F$42)</f>
        <v>0</v>
      </c>
      <c r="AD488" s="167">
        <f>LOOKUP(AD$2,'Depreciation Schedules'!$A$3:$A$42,'Depreciation Schedules'!$F$3:$F$42)</f>
        <v>0</v>
      </c>
      <c r="AE488" s="167">
        <f>LOOKUP(AE$2,'Depreciation Schedules'!$A$3:$A$42,'Depreciation Schedules'!$F$3:$F$42)</f>
        <v>0</v>
      </c>
      <c r="AF488" s="167">
        <f>LOOKUP(AF$2,'Depreciation Schedules'!$A$3:$A$42,'Depreciation Schedules'!$F$3:$F$42)</f>
        <v>0</v>
      </c>
      <c r="AG488" s="167">
        <f>LOOKUP(AG$2,'Depreciation Schedules'!$A$3:$A$42,'Depreciation Schedules'!$F$3:$F$42)</f>
        <v>0</v>
      </c>
      <c r="AH488" s="167">
        <f>LOOKUP(AH$2,'Depreciation Schedules'!$A$3:$A$42,'Depreciation Schedules'!$F$3:$F$42)</f>
        <v>0</v>
      </c>
      <c r="AI488" s="167">
        <f>LOOKUP(AI$2,'Depreciation Schedules'!$A$3:$A$42,'Depreciation Schedules'!$F$3:$F$42)</f>
        <v>0</v>
      </c>
      <c r="AJ488" s="167">
        <f>LOOKUP(AJ$2,'Depreciation Schedules'!$A$3:$A$42,'Depreciation Schedules'!$F$3:$F$42)</f>
        <v>0</v>
      </c>
      <c r="AK488" s="167">
        <f>LOOKUP(AK$2,'Depreciation Schedules'!$A$3:$A$42,'Depreciation Schedules'!$F$3:$F$42)</f>
        <v>0</v>
      </c>
      <c r="AL488" s="167">
        <f>LOOKUP(AL$2,'Depreciation Schedules'!$A$3:$A$42,'Depreciation Schedules'!$F$3:$F$42)</f>
        <v>0</v>
      </c>
      <c r="AM488" s="167">
        <f>LOOKUP(AM$2,'Depreciation Schedules'!$A$3:$A$42,'Depreciation Schedules'!$F$3:$F$42)</f>
        <v>0</v>
      </c>
      <c r="AN488" s="167">
        <f>LOOKUP(AN$2,'Depreciation Schedules'!$A$3:$A$42,'Depreciation Schedules'!$F$3:$F$42)</f>
        <v>0</v>
      </c>
      <c r="AO488" s="167">
        <f>LOOKUP(AO$2,'Depreciation Schedules'!$A$3:$A$42,'Depreciation Schedules'!$F$3:$F$42)</f>
        <v>0</v>
      </c>
      <c r="AP488" s="167">
        <f>LOOKUP(AP$2,'Depreciation Schedules'!$A$3:$A$42,'Depreciation Schedules'!$F$3:$F$42)</f>
        <v>0</v>
      </c>
    </row>
    <row r="489" spans="1:42" x14ac:dyDescent="0.2">
      <c r="A489" s="23" t="str">
        <f t="shared" si="198"/>
        <v>39-yr SL</v>
      </c>
      <c r="B489" s="170">
        <f t="array" ref="B489">SUM(IF(ISNUMBER(C489:AP489),C489:AP489))</f>
        <v>99.999999999999801</v>
      </c>
      <c r="C489" s="167">
        <f>LOOKUP(C$2,'Depreciation Schedules'!$A$3:$A$42,'Depreciation Schedules'!$G$3:$G$42)</f>
        <v>1.2820512820512799</v>
      </c>
      <c r="D489" s="167">
        <f>LOOKUP(D$2,'Depreciation Schedules'!$A$3:$A$42,'Depreciation Schedules'!$G$3:$G$42)</f>
        <v>2.5641025641025599</v>
      </c>
      <c r="E489" s="167">
        <f>LOOKUP(E$2,'Depreciation Schedules'!$A$3:$A$42,'Depreciation Schedules'!$G$3:$G$42)</f>
        <v>2.5641025641025599</v>
      </c>
      <c r="F489" s="167">
        <f>LOOKUP(F$2,'Depreciation Schedules'!$A$3:$A$42,'Depreciation Schedules'!$G$3:$G$42)</f>
        <v>2.5641025641025599</v>
      </c>
      <c r="G489" s="167">
        <f>LOOKUP(G$2,'Depreciation Schedules'!$A$3:$A$42,'Depreciation Schedules'!$G$3:$G$42)</f>
        <v>2.5641025641025599</v>
      </c>
      <c r="H489" s="167">
        <f>LOOKUP(H$2,'Depreciation Schedules'!$A$3:$A$42,'Depreciation Schedules'!$G$3:$G$42)</f>
        <v>2.5641025641025599</v>
      </c>
      <c r="I489" s="167">
        <f>LOOKUP(I$2,'Depreciation Schedules'!$A$3:$A$42,'Depreciation Schedules'!$G$3:$G$42)</f>
        <v>2.5641025641025599</v>
      </c>
      <c r="J489" s="167">
        <f>LOOKUP(J$2,'Depreciation Schedules'!$A$3:$A$42,'Depreciation Schedules'!$G$3:$G$42)</f>
        <v>2.5641025641025599</v>
      </c>
      <c r="K489" s="167">
        <f>LOOKUP(K$2,'Depreciation Schedules'!$A$3:$A$42,'Depreciation Schedules'!$G$3:$G$42)</f>
        <v>2.5641025641025599</v>
      </c>
      <c r="L489" s="167">
        <f>LOOKUP(L$2,'Depreciation Schedules'!$A$3:$A$42,'Depreciation Schedules'!$G$3:$G$42)</f>
        <v>2.5641025641025599</v>
      </c>
      <c r="M489" s="167">
        <f>LOOKUP(M$2,'Depreciation Schedules'!$A$3:$A$42,'Depreciation Schedules'!$G$3:$G$42)</f>
        <v>2.5641025641025599</v>
      </c>
      <c r="N489" s="167">
        <f>LOOKUP(N$2,'Depreciation Schedules'!$A$3:$A$42,'Depreciation Schedules'!$G$3:$G$42)</f>
        <v>2.5641025641025599</v>
      </c>
      <c r="O489" s="167">
        <f>LOOKUP(O$2,'Depreciation Schedules'!$A$3:$A$42,'Depreciation Schedules'!$G$3:$G$42)</f>
        <v>2.5641025641025599</v>
      </c>
      <c r="P489" s="167">
        <f>LOOKUP(P$2,'Depreciation Schedules'!$A$3:$A$42,'Depreciation Schedules'!$G$3:$G$42)</f>
        <v>2.5641025641025599</v>
      </c>
      <c r="Q489" s="167">
        <f>LOOKUP(Q$2,'Depreciation Schedules'!$A$3:$A$42,'Depreciation Schedules'!$G$3:$G$42)</f>
        <v>2.5641025641025599</v>
      </c>
      <c r="R489" s="167">
        <f>LOOKUP(R$2,'Depreciation Schedules'!$A$3:$A$42,'Depreciation Schedules'!$G$3:$G$42)</f>
        <v>2.5641025641025599</v>
      </c>
      <c r="S489" s="167">
        <f>LOOKUP(S$2,'Depreciation Schedules'!$A$3:$A$42,'Depreciation Schedules'!$G$3:$G$42)</f>
        <v>2.5641025641025599</v>
      </c>
      <c r="T489" s="167">
        <f>LOOKUP(T$2,'Depreciation Schedules'!$A$3:$A$42,'Depreciation Schedules'!$G$3:$G$42)</f>
        <v>2.5641025641025599</v>
      </c>
      <c r="U489" s="167">
        <f>LOOKUP(U$2,'Depreciation Schedules'!$A$3:$A$42,'Depreciation Schedules'!$G$3:$G$42)</f>
        <v>2.5641025641025599</v>
      </c>
      <c r="V489" s="167">
        <f>LOOKUP(V$2,'Depreciation Schedules'!$A$3:$A$42,'Depreciation Schedules'!$G$3:$G$42)</f>
        <v>2.5641025641025599</v>
      </c>
      <c r="W489" s="167">
        <f>LOOKUP(W$2,'Depreciation Schedules'!$A$3:$A$42,'Depreciation Schedules'!$G$3:$G$42)</f>
        <v>2.5641025641025599</v>
      </c>
      <c r="X489" s="167">
        <f>LOOKUP(X$2,'Depreciation Schedules'!$A$3:$A$42,'Depreciation Schedules'!$G$3:$G$42)</f>
        <v>2.5641025641025599</v>
      </c>
      <c r="Y489" s="167">
        <f>LOOKUP(Y$2,'Depreciation Schedules'!$A$3:$A$42,'Depreciation Schedules'!$G$3:$G$42)</f>
        <v>2.5641025641025599</v>
      </c>
      <c r="Z489" s="167">
        <f>LOOKUP(Z$2,'Depreciation Schedules'!$A$3:$A$42,'Depreciation Schedules'!$G$3:$G$42)</f>
        <v>2.5641025641025599</v>
      </c>
      <c r="AA489" s="167">
        <f>LOOKUP(AA$2,'Depreciation Schedules'!$A$3:$A$42,'Depreciation Schedules'!$G$3:$G$42)</f>
        <v>2.5641025641025599</v>
      </c>
      <c r="AB489" s="167">
        <f>LOOKUP(AB$2,'Depreciation Schedules'!$A$3:$A$42,'Depreciation Schedules'!$G$3:$G$42)</f>
        <v>2.5641025641025599</v>
      </c>
      <c r="AC489" s="167">
        <f>LOOKUP(AC$2,'Depreciation Schedules'!$A$3:$A$42,'Depreciation Schedules'!$G$3:$G$42)</f>
        <v>2.5641025641025599</v>
      </c>
      <c r="AD489" s="167">
        <f>LOOKUP(AD$2,'Depreciation Schedules'!$A$3:$A$42,'Depreciation Schedules'!$G$3:$G$42)</f>
        <v>2.5641025641025599</v>
      </c>
      <c r="AE489" s="167">
        <f>LOOKUP(AE$2,'Depreciation Schedules'!$A$3:$A$42,'Depreciation Schedules'!$G$3:$G$42)</f>
        <v>2.5641025641025599</v>
      </c>
      <c r="AF489" s="167">
        <f>LOOKUP(AF$2,'Depreciation Schedules'!$A$3:$A$42,'Depreciation Schedules'!$G$3:$G$42)</f>
        <v>2.5641025641025599</v>
      </c>
      <c r="AG489" s="167">
        <f>LOOKUP(AG$2,'Depreciation Schedules'!$A$3:$A$42,'Depreciation Schedules'!$G$3:$G$42)</f>
        <v>2.5641025641025599</v>
      </c>
      <c r="AH489" s="167">
        <f>LOOKUP(AH$2,'Depreciation Schedules'!$A$3:$A$42,'Depreciation Schedules'!$G$3:$G$42)</f>
        <v>2.5641025641025599</v>
      </c>
      <c r="AI489" s="167">
        <f>LOOKUP(AI$2,'Depreciation Schedules'!$A$3:$A$42,'Depreciation Schedules'!$G$3:$G$42)</f>
        <v>2.5641025641025599</v>
      </c>
      <c r="AJ489" s="167">
        <f>LOOKUP(AJ$2,'Depreciation Schedules'!$A$3:$A$42,'Depreciation Schedules'!$G$3:$G$42)</f>
        <v>2.5641025641025599</v>
      </c>
      <c r="AK489" s="167">
        <f>LOOKUP(AK$2,'Depreciation Schedules'!$A$3:$A$42,'Depreciation Schedules'!$G$3:$G$42)</f>
        <v>2.5641025641025599</v>
      </c>
      <c r="AL489" s="167">
        <f>LOOKUP(AL$2,'Depreciation Schedules'!$A$3:$A$42,'Depreciation Schedules'!$G$3:$G$42)</f>
        <v>2.5641025641025599</v>
      </c>
      <c r="AM489" s="167">
        <f>LOOKUP(AM$2,'Depreciation Schedules'!$A$3:$A$42,'Depreciation Schedules'!$G$3:$G$42)</f>
        <v>2.5641025641025599</v>
      </c>
      <c r="AN489" s="167">
        <f>LOOKUP(AN$2,'Depreciation Schedules'!$A$3:$A$42,'Depreciation Schedules'!$G$3:$G$42)</f>
        <v>2.5641025641025599</v>
      </c>
      <c r="AO489" s="167">
        <f>LOOKUP(AO$2,'Depreciation Schedules'!$A$3:$A$42,'Depreciation Schedules'!$G$3:$G$42)</f>
        <v>2.5641025641025599</v>
      </c>
      <c r="AP489" s="167">
        <f>LOOKUP(AP$2,'Depreciation Schedules'!$A$3:$A$42,'Depreciation Schedules'!$G$3:$G$42)</f>
        <v>1.2820512820512799</v>
      </c>
    </row>
    <row r="490" spans="1:42" x14ac:dyDescent="0.2">
      <c r="A490" s="23" t="s">
        <v>243</v>
      </c>
      <c r="B490" s="170">
        <f t="array" ref="B490">SUM(IF(ISNUMBER(C490:AP490),C490:AP490))</f>
        <v>0</v>
      </c>
      <c r="C490" s="167">
        <f t="array" ref="C490:AP490">Inputs!D193:AQ193</f>
        <v>0</v>
      </c>
      <c r="D490" s="167">
        <v>0</v>
      </c>
      <c r="E490" s="167">
        <v>0</v>
      </c>
      <c r="F490" s="167">
        <v>0</v>
      </c>
      <c r="G490" s="167">
        <v>0</v>
      </c>
      <c r="H490" s="167">
        <v>0</v>
      </c>
      <c r="I490" s="167">
        <v>0</v>
      </c>
      <c r="J490" s="167">
        <v>0</v>
      </c>
      <c r="K490" s="167">
        <v>0</v>
      </c>
      <c r="L490" s="167">
        <v>0</v>
      </c>
      <c r="M490" s="167">
        <v>0</v>
      </c>
      <c r="N490" s="167">
        <v>0</v>
      </c>
      <c r="O490" s="167">
        <v>0</v>
      </c>
      <c r="P490" s="167">
        <v>0</v>
      </c>
      <c r="Q490" s="167">
        <v>0</v>
      </c>
      <c r="R490" s="167">
        <v>0</v>
      </c>
      <c r="S490" s="167">
        <v>0</v>
      </c>
      <c r="T490" s="167">
        <v>0</v>
      </c>
      <c r="U490" s="167">
        <v>0</v>
      </c>
      <c r="V490" s="167">
        <v>0</v>
      </c>
      <c r="W490" s="167">
        <v>0</v>
      </c>
      <c r="X490" s="167">
        <v>0</v>
      </c>
      <c r="Y490" s="167">
        <v>0</v>
      </c>
      <c r="Z490" s="167">
        <v>0</v>
      </c>
      <c r="AA490" s="167">
        <v>0</v>
      </c>
      <c r="AB490" s="167">
        <v>0</v>
      </c>
      <c r="AC490" s="167">
        <v>0</v>
      </c>
      <c r="AD490" s="167">
        <v>0</v>
      </c>
      <c r="AE490" s="167">
        <v>0</v>
      </c>
      <c r="AF490" s="167">
        <v>0</v>
      </c>
      <c r="AG490" s="167">
        <v>0</v>
      </c>
      <c r="AH490" s="167">
        <v>0</v>
      </c>
      <c r="AI490" s="167">
        <v>0</v>
      </c>
      <c r="AJ490" s="167">
        <v>0</v>
      </c>
      <c r="AK490" s="167">
        <v>0</v>
      </c>
      <c r="AL490" s="167">
        <v>0</v>
      </c>
      <c r="AM490" s="167">
        <v>0</v>
      </c>
      <c r="AN490" s="167">
        <v>0</v>
      </c>
      <c r="AO490" s="167">
        <v>0</v>
      </c>
      <c r="AP490" s="167">
        <v>0</v>
      </c>
    </row>
    <row r="491" spans="1:42" x14ac:dyDescent="0.2">
      <c r="A491" s="22" t="s">
        <v>3</v>
      </c>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row>
    <row r="492" spans="1:42" x14ac:dyDescent="0.2">
      <c r="A492" s="23" t="str">
        <f t="shared" ref="A492:A497" si="199">A484</f>
        <v>5-yr MACRS</v>
      </c>
      <c r="B492" s="179">
        <f t="array" ref="B492">SUM(IF(ISNUMBER(C492:AP492),C492:AP492))</f>
        <v>85672179.787499994</v>
      </c>
      <c r="C492" s="119">
        <f>C484/100*$Q$451</f>
        <v>17134435.9575</v>
      </c>
      <c r="D492" s="119">
        <f t="shared" ref="D492:AP492" si="200">D484/100*$Q$451</f>
        <v>27415097.531999998</v>
      </c>
      <c r="E492" s="119">
        <f t="shared" si="200"/>
        <v>16449058.519199999</v>
      </c>
      <c r="F492" s="119">
        <f t="shared" si="200"/>
        <v>9869435.1115199998</v>
      </c>
      <c r="G492" s="119">
        <f t="shared" si="200"/>
        <v>9869435.1115199998</v>
      </c>
      <c r="H492" s="119">
        <f t="shared" si="200"/>
        <v>4934717.5557599999</v>
      </c>
      <c r="I492" s="119">
        <f t="shared" si="200"/>
        <v>0</v>
      </c>
      <c r="J492" s="119">
        <f t="shared" si="200"/>
        <v>0</v>
      </c>
      <c r="K492" s="119">
        <f t="shared" si="200"/>
        <v>0</v>
      </c>
      <c r="L492" s="119">
        <f t="shared" si="200"/>
        <v>0</v>
      </c>
      <c r="M492" s="119">
        <f t="shared" si="200"/>
        <v>0</v>
      </c>
      <c r="N492" s="119">
        <f t="shared" si="200"/>
        <v>0</v>
      </c>
      <c r="O492" s="119">
        <f t="shared" si="200"/>
        <v>0</v>
      </c>
      <c r="P492" s="119">
        <f t="shared" si="200"/>
        <v>0</v>
      </c>
      <c r="Q492" s="119">
        <f t="shared" si="200"/>
        <v>0</v>
      </c>
      <c r="R492" s="119">
        <f t="shared" si="200"/>
        <v>0</v>
      </c>
      <c r="S492" s="119">
        <f t="shared" si="200"/>
        <v>0</v>
      </c>
      <c r="T492" s="119">
        <f t="shared" si="200"/>
        <v>0</v>
      </c>
      <c r="U492" s="119">
        <f t="shared" si="200"/>
        <v>0</v>
      </c>
      <c r="V492" s="119">
        <f t="shared" si="200"/>
        <v>0</v>
      </c>
      <c r="W492" s="119">
        <f t="shared" si="200"/>
        <v>0</v>
      </c>
      <c r="X492" s="119">
        <f t="shared" si="200"/>
        <v>0</v>
      </c>
      <c r="Y492" s="119">
        <f t="shared" si="200"/>
        <v>0</v>
      </c>
      <c r="Z492" s="119">
        <f t="shared" si="200"/>
        <v>0</v>
      </c>
      <c r="AA492" s="119">
        <f t="shared" si="200"/>
        <v>0</v>
      </c>
      <c r="AB492" s="119">
        <f t="shared" si="200"/>
        <v>0</v>
      </c>
      <c r="AC492" s="119">
        <f t="shared" si="200"/>
        <v>0</v>
      </c>
      <c r="AD492" s="119">
        <f t="shared" si="200"/>
        <v>0</v>
      </c>
      <c r="AE492" s="119">
        <f t="shared" si="200"/>
        <v>0</v>
      </c>
      <c r="AF492" s="119">
        <f t="shared" si="200"/>
        <v>0</v>
      </c>
      <c r="AG492" s="119">
        <f t="shared" si="200"/>
        <v>0</v>
      </c>
      <c r="AH492" s="119">
        <f t="shared" si="200"/>
        <v>0</v>
      </c>
      <c r="AI492" s="119">
        <f t="shared" si="200"/>
        <v>0</v>
      </c>
      <c r="AJ492" s="119">
        <f t="shared" si="200"/>
        <v>0</v>
      </c>
      <c r="AK492" s="119">
        <f t="shared" si="200"/>
        <v>0</v>
      </c>
      <c r="AL492" s="119">
        <f t="shared" si="200"/>
        <v>0</v>
      </c>
      <c r="AM492" s="119">
        <f t="shared" si="200"/>
        <v>0</v>
      </c>
      <c r="AN492" s="119">
        <f t="shared" si="200"/>
        <v>0</v>
      </c>
      <c r="AO492" s="119">
        <f t="shared" si="200"/>
        <v>0</v>
      </c>
      <c r="AP492" s="119">
        <f t="shared" si="200"/>
        <v>0</v>
      </c>
    </row>
    <row r="493" spans="1:42" x14ac:dyDescent="0.2">
      <c r="A493" s="23" t="str">
        <f t="shared" si="199"/>
        <v>15-yr MACRS</v>
      </c>
      <c r="B493" s="179">
        <f t="array" ref="B493">SUM(IF(ISNUMBER(C493:AP493),C493:AP493))</f>
        <v>1679678.6778337501</v>
      </c>
      <c r="C493" s="119">
        <f>C485/100*$Q$452</f>
        <v>83992.333125000005</v>
      </c>
      <c r="D493" s="119">
        <f t="shared" ref="D493:AP493" si="201">D485/100*$Q$452</f>
        <v>159585.43293750001</v>
      </c>
      <c r="E493" s="119">
        <f t="shared" si="201"/>
        <v>143626.88964375001</v>
      </c>
      <c r="F493" s="119">
        <f t="shared" si="201"/>
        <v>129348.19301250001</v>
      </c>
      <c r="G493" s="119">
        <f t="shared" si="201"/>
        <v>116413.37371125001</v>
      </c>
      <c r="H493" s="119">
        <f t="shared" si="201"/>
        <v>104654.44707375001</v>
      </c>
      <c r="I493" s="119">
        <f t="shared" si="201"/>
        <v>99110.953087500005</v>
      </c>
      <c r="J493" s="119">
        <f t="shared" si="201"/>
        <v>99110.953087500005</v>
      </c>
      <c r="K493" s="119">
        <f t="shared" si="201"/>
        <v>99278.937753750011</v>
      </c>
      <c r="L493" s="119">
        <f t="shared" si="201"/>
        <v>99110.953087500005</v>
      </c>
      <c r="M493" s="119">
        <f t="shared" si="201"/>
        <v>99278.937753750011</v>
      </c>
      <c r="N493" s="119">
        <f t="shared" si="201"/>
        <v>99110.953087500005</v>
      </c>
      <c r="O493" s="119">
        <f t="shared" si="201"/>
        <v>99278.937753750011</v>
      </c>
      <c r="P493" s="119">
        <f t="shared" si="201"/>
        <v>99110.953087500005</v>
      </c>
      <c r="Q493" s="119">
        <f t="shared" si="201"/>
        <v>99110.953087500005</v>
      </c>
      <c r="R493" s="119">
        <f t="shared" si="201"/>
        <v>49555.476543750003</v>
      </c>
      <c r="S493" s="119">
        <f t="shared" si="201"/>
        <v>0</v>
      </c>
      <c r="T493" s="119">
        <f t="shared" si="201"/>
        <v>0</v>
      </c>
      <c r="U493" s="119">
        <f t="shared" si="201"/>
        <v>0</v>
      </c>
      <c r="V493" s="119">
        <f t="shared" si="201"/>
        <v>0</v>
      </c>
      <c r="W493" s="119">
        <f t="shared" si="201"/>
        <v>0</v>
      </c>
      <c r="X493" s="119">
        <f t="shared" si="201"/>
        <v>0</v>
      </c>
      <c r="Y493" s="119">
        <f t="shared" si="201"/>
        <v>0</v>
      </c>
      <c r="Z493" s="119">
        <f t="shared" si="201"/>
        <v>0</v>
      </c>
      <c r="AA493" s="119">
        <f t="shared" si="201"/>
        <v>0</v>
      </c>
      <c r="AB493" s="119">
        <f t="shared" si="201"/>
        <v>0</v>
      </c>
      <c r="AC493" s="119">
        <f t="shared" si="201"/>
        <v>0</v>
      </c>
      <c r="AD493" s="119">
        <f t="shared" si="201"/>
        <v>0</v>
      </c>
      <c r="AE493" s="119">
        <f t="shared" si="201"/>
        <v>0</v>
      </c>
      <c r="AF493" s="119">
        <f t="shared" si="201"/>
        <v>0</v>
      </c>
      <c r="AG493" s="119">
        <f t="shared" si="201"/>
        <v>0</v>
      </c>
      <c r="AH493" s="119">
        <f t="shared" si="201"/>
        <v>0</v>
      </c>
      <c r="AI493" s="119">
        <f t="shared" si="201"/>
        <v>0</v>
      </c>
      <c r="AJ493" s="119">
        <f t="shared" si="201"/>
        <v>0</v>
      </c>
      <c r="AK493" s="119">
        <f t="shared" si="201"/>
        <v>0</v>
      </c>
      <c r="AL493" s="119">
        <f t="shared" si="201"/>
        <v>0</v>
      </c>
      <c r="AM493" s="119">
        <f t="shared" si="201"/>
        <v>0</v>
      </c>
      <c r="AN493" s="119">
        <f t="shared" si="201"/>
        <v>0</v>
      </c>
      <c r="AO493" s="119">
        <f t="shared" si="201"/>
        <v>0</v>
      </c>
      <c r="AP493" s="119">
        <f t="shared" si="201"/>
        <v>0</v>
      </c>
    </row>
    <row r="494" spans="1:42" x14ac:dyDescent="0.2">
      <c r="A494" s="23" t="str">
        <f t="shared" si="199"/>
        <v>5-yr SL</v>
      </c>
      <c r="B494" s="179">
        <f t="array" ref="B494">SUM(IF(ISNUMBER(C494:AP494),C494:AP494))</f>
        <v>0</v>
      </c>
      <c r="C494" s="119">
        <f>C486/100*$Q$453</f>
        <v>0</v>
      </c>
      <c r="D494" s="119">
        <f t="shared" ref="D494:AP494" si="202">D486/100*$Q$453</f>
        <v>0</v>
      </c>
      <c r="E494" s="119">
        <f t="shared" si="202"/>
        <v>0</v>
      </c>
      <c r="F494" s="119">
        <f t="shared" si="202"/>
        <v>0</v>
      </c>
      <c r="G494" s="119">
        <f t="shared" si="202"/>
        <v>0</v>
      </c>
      <c r="H494" s="119">
        <f t="shared" si="202"/>
        <v>0</v>
      </c>
      <c r="I494" s="119">
        <f t="shared" si="202"/>
        <v>0</v>
      </c>
      <c r="J494" s="119">
        <f t="shared" si="202"/>
        <v>0</v>
      </c>
      <c r="K494" s="119">
        <f t="shared" si="202"/>
        <v>0</v>
      </c>
      <c r="L494" s="119">
        <f t="shared" si="202"/>
        <v>0</v>
      </c>
      <c r="M494" s="119">
        <f t="shared" si="202"/>
        <v>0</v>
      </c>
      <c r="N494" s="119">
        <f t="shared" si="202"/>
        <v>0</v>
      </c>
      <c r="O494" s="119">
        <f t="shared" si="202"/>
        <v>0</v>
      </c>
      <c r="P494" s="119">
        <f t="shared" si="202"/>
        <v>0</v>
      </c>
      <c r="Q494" s="119">
        <f t="shared" si="202"/>
        <v>0</v>
      </c>
      <c r="R494" s="119">
        <f t="shared" si="202"/>
        <v>0</v>
      </c>
      <c r="S494" s="119">
        <f t="shared" si="202"/>
        <v>0</v>
      </c>
      <c r="T494" s="119">
        <f t="shared" si="202"/>
        <v>0</v>
      </c>
      <c r="U494" s="119">
        <f t="shared" si="202"/>
        <v>0</v>
      </c>
      <c r="V494" s="119">
        <f t="shared" si="202"/>
        <v>0</v>
      </c>
      <c r="W494" s="119">
        <f t="shared" si="202"/>
        <v>0</v>
      </c>
      <c r="X494" s="119">
        <f t="shared" si="202"/>
        <v>0</v>
      </c>
      <c r="Y494" s="119">
        <f t="shared" si="202"/>
        <v>0</v>
      </c>
      <c r="Z494" s="119">
        <f t="shared" si="202"/>
        <v>0</v>
      </c>
      <c r="AA494" s="119">
        <f t="shared" si="202"/>
        <v>0</v>
      </c>
      <c r="AB494" s="119">
        <f t="shared" si="202"/>
        <v>0</v>
      </c>
      <c r="AC494" s="119">
        <f t="shared" si="202"/>
        <v>0</v>
      </c>
      <c r="AD494" s="119">
        <f t="shared" si="202"/>
        <v>0</v>
      </c>
      <c r="AE494" s="119">
        <f t="shared" si="202"/>
        <v>0</v>
      </c>
      <c r="AF494" s="119">
        <f t="shared" si="202"/>
        <v>0</v>
      </c>
      <c r="AG494" s="119">
        <f t="shared" si="202"/>
        <v>0</v>
      </c>
      <c r="AH494" s="119">
        <f t="shared" si="202"/>
        <v>0</v>
      </c>
      <c r="AI494" s="119">
        <f t="shared" si="202"/>
        <v>0</v>
      </c>
      <c r="AJ494" s="119">
        <f t="shared" si="202"/>
        <v>0</v>
      </c>
      <c r="AK494" s="119">
        <f t="shared" si="202"/>
        <v>0</v>
      </c>
      <c r="AL494" s="119">
        <f t="shared" si="202"/>
        <v>0</v>
      </c>
      <c r="AM494" s="119">
        <f t="shared" si="202"/>
        <v>0</v>
      </c>
      <c r="AN494" s="119">
        <f t="shared" si="202"/>
        <v>0</v>
      </c>
      <c r="AO494" s="119">
        <f t="shared" si="202"/>
        <v>0</v>
      </c>
      <c r="AP494" s="119">
        <f t="shared" si="202"/>
        <v>0</v>
      </c>
    </row>
    <row r="495" spans="1:42" x14ac:dyDescent="0.2">
      <c r="A495" s="23" t="str">
        <f t="shared" si="199"/>
        <v>15-yr SL</v>
      </c>
      <c r="B495" s="179">
        <f t="array" ref="B495">SUM(IF(ISNUMBER(C495:AP495),C495:AP495))</f>
        <v>2800304.3863875004</v>
      </c>
      <c r="C495" s="119">
        <f>C487/100*$Q$454</f>
        <v>93231.489768750005</v>
      </c>
      <c r="D495" s="119">
        <f t="shared" ref="D495:AP495" si="203">D487/100*$Q$454</f>
        <v>186742.95398125</v>
      </c>
      <c r="E495" s="119">
        <f t="shared" si="203"/>
        <v>186742.95398125</v>
      </c>
      <c r="F495" s="119">
        <f t="shared" si="203"/>
        <v>186742.95398125</v>
      </c>
      <c r="G495" s="119">
        <f t="shared" si="203"/>
        <v>186742.95398125</v>
      </c>
      <c r="H495" s="119">
        <f t="shared" si="203"/>
        <v>186742.95398125</v>
      </c>
      <c r="I495" s="119">
        <f t="shared" si="203"/>
        <v>186742.95398125</v>
      </c>
      <c r="J495" s="119">
        <f t="shared" si="203"/>
        <v>186742.95398125</v>
      </c>
      <c r="K495" s="119">
        <f t="shared" si="203"/>
        <v>186742.95398125</v>
      </c>
      <c r="L495" s="119">
        <f t="shared" si="203"/>
        <v>186742.95398125</v>
      </c>
      <c r="M495" s="119">
        <f t="shared" si="203"/>
        <v>186742.95398125</v>
      </c>
      <c r="N495" s="119">
        <f t="shared" si="203"/>
        <v>186462.97953750001</v>
      </c>
      <c r="O495" s="119">
        <f t="shared" si="203"/>
        <v>186742.95398125</v>
      </c>
      <c r="P495" s="119">
        <f t="shared" si="203"/>
        <v>186462.97953750001</v>
      </c>
      <c r="Q495" s="119">
        <f t="shared" si="203"/>
        <v>186742.95398125</v>
      </c>
      <c r="R495" s="119">
        <f t="shared" si="203"/>
        <v>93231.489768750005</v>
      </c>
      <c r="S495" s="119">
        <f t="shared" si="203"/>
        <v>0</v>
      </c>
      <c r="T495" s="119">
        <f t="shared" si="203"/>
        <v>0</v>
      </c>
      <c r="U495" s="119">
        <f t="shared" si="203"/>
        <v>0</v>
      </c>
      <c r="V495" s="119">
        <f t="shared" si="203"/>
        <v>0</v>
      </c>
      <c r="W495" s="119">
        <f t="shared" si="203"/>
        <v>0</v>
      </c>
      <c r="X495" s="119">
        <f t="shared" si="203"/>
        <v>0</v>
      </c>
      <c r="Y495" s="119">
        <f t="shared" si="203"/>
        <v>0</v>
      </c>
      <c r="Z495" s="119">
        <f t="shared" si="203"/>
        <v>0</v>
      </c>
      <c r="AA495" s="119">
        <f t="shared" si="203"/>
        <v>0</v>
      </c>
      <c r="AB495" s="119">
        <f t="shared" si="203"/>
        <v>0</v>
      </c>
      <c r="AC495" s="119">
        <f t="shared" si="203"/>
        <v>0</v>
      </c>
      <c r="AD495" s="119">
        <f t="shared" si="203"/>
        <v>0</v>
      </c>
      <c r="AE495" s="119">
        <f t="shared" si="203"/>
        <v>0</v>
      </c>
      <c r="AF495" s="119">
        <f t="shared" si="203"/>
        <v>0</v>
      </c>
      <c r="AG495" s="119">
        <f t="shared" si="203"/>
        <v>0</v>
      </c>
      <c r="AH495" s="119">
        <f t="shared" si="203"/>
        <v>0</v>
      </c>
      <c r="AI495" s="119">
        <f t="shared" si="203"/>
        <v>0</v>
      </c>
      <c r="AJ495" s="119">
        <f t="shared" si="203"/>
        <v>0</v>
      </c>
      <c r="AK495" s="119">
        <f t="shared" si="203"/>
        <v>0</v>
      </c>
      <c r="AL495" s="119">
        <f t="shared" si="203"/>
        <v>0</v>
      </c>
      <c r="AM495" s="119">
        <f t="shared" si="203"/>
        <v>0</v>
      </c>
      <c r="AN495" s="119">
        <f t="shared" si="203"/>
        <v>0</v>
      </c>
      <c r="AO495" s="119">
        <f t="shared" si="203"/>
        <v>0</v>
      </c>
      <c r="AP495" s="119">
        <f t="shared" si="203"/>
        <v>0</v>
      </c>
    </row>
    <row r="496" spans="1:42" x14ac:dyDescent="0.2">
      <c r="A496" s="23" t="str">
        <f t="shared" si="199"/>
        <v>20-yr SL</v>
      </c>
      <c r="B496" s="179">
        <f t="array" ref="B496">SUM(IF(ISNUMBER(C496:AP496),C496:AP496))</f>
        <v>3359693.3249999983</v>
      </c>
      <c r="C496" s="119">
        <f>C488/100*$Q$455</f>
        <v>83992.333125000005</v>
      </c>
      <c r="D496" s="119">
        <f t="shared" ref="D496:AP496" si="204">D488/100*$Q$455</f>
        <v>167984.66625000001</v>
      </c>
      <c r="E496" s="119">
        <f t="shared" si="204"/>
        <v>167984.66625000001</v>
      </c>
      <c r="F496" s="119">
        <f t="shared" si="204"/>
        <v>167984.66625000001</v>
      </c>
      <c r="G496" s="119">
        <f t="shared" si="204"/>
        <v>167984.66625000001</v>
      </c>
      <c r="H496" s="119">
        <f t="shared" si="204"/>
        <v>167984.66625000001</v>
      </c>
      <c r="I496" s="119">
        <f t="shared" si="204"/>
        <v>167984.66625000001</v>
      </c>
      <c r="J496" s="119">
        <f t="shared" si="204"/>
        <v>167984.66625000001</v>
      </c>
      <c r="K496" s="119">
        <f t="shared" si="204"/>
        <v>167984.66625000001</v>
      </c>
      <c r="L496" s="119">
        <f t="shared" si="204"/>
        <v>167984.66625000001</v>
      </c>
      <c r="M496" s="119">
        <f t="shared" si="204"/>
        <v>167984.66625000001</v>
      </c>
      <c r="N496" s="119">
        <f t="shared" si="204"/>
        <v>167984.66625000001</v>
      </c>
      <c r="O496" s="119">
        <f t="shared" si="204"/>
        <v>167984.66625000001</v>
      </c>
      <c r="P496" s="119">
        <f t="shared" si="204"/>
        <v>167984.66625000001</v>
      </c>
      <c r="Q496" s="119">
        <f t="shared" si="204"/>
        <v>167984.66625000001</v>
      </c>
      <c r="R496" s="119">
        <f t="shared" si="204"/>
        <v>167984.66625000001</v>
      </c>
      <c r="S496" s="119">
        <f t="shared" si="204"/>
        <v>167984.66625000001</v>
      </c>
      <c r="T496" s="119">
        <f t="shared" si="204"/>
        <v>167984.66625000001</v>
      </c>
      <c r="U496" s="119">
        <f t="shared" si="204"/>
        <v>167984.66625000001</v>
      </c>
      <c r="V496" s="119">
        <f t="shared" si="204"/>
        <v>167984.66625000001</v>
      </c>
      <c r="W496" s="119">
        <f t="shared" si="204"/>
        <v>83992.333125000005</v>
      </c>
      <c r="X496" s="119">
        <f t="shared" si="204"/>
        <v>0</v>
      </c>
      <c r="Y496" s="119">
        <f t="shared" si="204"/>
        <v>0</v>
      </c>
      <c r="Z496" s="119">
        <f t="shared" si="204"/>
        <v>0</v>
      </c>
      <c r="AA496" s="119">
        <f t="shared" si="204"/>
        <v>0</v>
      </c>
      <c r="AB496" s="119">
        <f t="shared" si="204"/>
        <v>0</v>
      </c>
      <c r="AC496" s="119">
        <f t="shared" si="204"/>
        <v>0</v>
      </c>
      <c r="AD496" s="119">
        <f t="shared" si="204"/>
        <v>0</v>
      </c>
      <c r="AE496" s="119">
        <f t="shared" si="204"/>
        <v>0</v>
      </c>
      <c r="AF496" s="119">
        <f t="shared" si="204"/>
        <v>0</v>
      </c>
      <c r="AG496" s="119">
        <f t="shared" si="204"/>
        <v>0</v>
      </c>
      <c r="AH496" s="119">
        <f t="shared" si="204"/>
        <v>0</v>
      </c>
      <c r="AI496" s="119">
        <f t="shared" si="204"/>
        <v>0</v>
      </c>
      <c r="AJ496" s="119">
        <f t="shared" si="204"/>
        <v>0</v>
      </c>
      <c r="AK496" s="119">
        <f t="shared" si="204"/>
        <v>0</v>
      </c>
      <c r="AL496" s="119">
        <f t="shared" si="204"/>
        <v>0</v>
      </c>
      <c r="AM496" s="119">
        <f t="shared" si="204"/>
        <v>0</v>
      </c>
      <c r="AN496" s="119">
        <f t="shared" si="204"/>
        <v>0</v>
      </c>
      <c r="AO496" s="119">
        <f t="shared" si="204"/>
        <v>0</v>
      </c>
      <c r="AP496" s="119">
        <f t="shared" si="204"/>
        <v>0</v>
      </c>
    </row>
    <row r="497" spans="1:42" x14ac:dyDescent="0.2">
      <c r="A497" s="23" t="str">
        <f t="shared" si="199"/>
        <v>39-yr SL</v>
      </c>
      <c r="B497" s="179">
        <f>SUM(IF(ISNUMBER(C497:AP497),C497:AP497))</f>
        <v>0</v>
      </c>
      <c r="C497" s="119">
        <f>C489/100*$Q$456</f>
        <v>0</v>
      </c>
      <c r="D497" s="119">
        <f t="shared" ref="D497:AP497" si="205">D489/100*$Q$456</f>
        <v>0</v>
      </c>
      <c r="E497" s="119">
        <f t="shared" si="205"/>
        <v>0</v>
      </c>
      <c r="F497" s="119">
        <f t="shared" si="205"/>
        <v>0</v>
      </c>
      <c r="G497" s="119">
        <f t="shared" si="205"/>
        <v>0</v>
      </c>
      <c r="H497" s="119">
        <f t="shared" si="205"/>
        <v>0</v>
      </c>
      <c r="I497" s="119">
        <f t="shared" si="205"/>
        <v>0</v>
      </c>
      <c r="J497" s="119">
        <f t="shared" si="205"/>
        <v>0</v>
      </c>
      <c r="K497" s="119">
        <f t="shared" si="205"/>
        <v>0</v>
      </c>
      <c r="L497" s="119">
        <f t="shared" si="205"/>
        <v>0</v>
      </c>
      <c r="M497" s="119">
        <f t="shared" si="205"/>
        <v>0</v>
      </c>
      <c r="N497" s="119">
        <f t="shared" si="205"/>
        <v>0</v>
      </c>
      <c r="O497" s="119">
        <f t="shared" si="205"/>
        <v>0</v>
      </c>
      <c r="P497" s="119">
        <f t="shared" si="205"/>
        <v>0</v>
      </c>
      <c r="Q497" s="119">
        <f t="shared" si="205"/>
        <v>0</v>
      </c>
      <c r="R497" s="119">
        <f t="shared" si="205"/>
        <v>0</v>
      </c>
      <c r="S497" s="119">
        <f t="shared" si="205"/>
        <v>0</v>
      </c>
      <c r="T497" s="119">
        <f t="shared" si="205"/>
        <v>0</v>
      </c>
      <c r="U497" s="119">
        <f t="shared" si="205"/>
        <v>0</v>
      </c>
      <c r="V497" s="119">
        <f t="shared" si="205"/>
        <v>0</v>
      </c>
      <c r="W497" s="119">
        <f t="shared" si="205"/>
        <v>0</v>
      </c>
      <c r="X497" s="119">
        <f t="shared" si="205"/>
        <v>0</v>
      </c>
      <c r="Y497" s="119">
        <f t="shared" si="205"/>
        <v>0</v>
      </c>
      <c r="Z497" s="119">
        <f t="shared" si="205"/>
        <v>0</v>
      </c>
      <c r="AA497" s="119">
        <f t="shared" si="205"/>
        <v>0</v>
      </c>
      <c r="AB497" s="119">
        <f t="shared" si="205"/>
        <v>0</v>
      </c>
      <c r="AC497" s="119">
        <f t="shared" si="205"/>
        <v>0</v>
      </c>
      <c r="AD497" s="119">
        <f t="shared" si="205"/>
        <v>0</v>
      </c>
      <c r="AE497" s="119">
        <f t="shared" si="205"/>
        <v>0</v>
      </c>
      <c r="AF497" s="119">
        <f t="shared" si="205"/>
        <v>0</v>
      </c>
      <c r="AG497" s="119">
        <f t="shared" si="205"/>
        <v>0</v>
      </c>
      <c r="AH497" s="119">
        <f t="shared" si="205"/>
        <v>0</v>
      </c>
      <c r="AI497" s="119">
        <f t="shared" si="205"/>
        <v>0</v>
      </c>
      <c r="AJ497" s="119">
        <f t="shared" si="205"/>
        <v>0</v>
      </c>
      <c r="AK497" s="119">
        <f t="shared" si="205"/>
        <v>0</v>
      </c>
      <c r="AL497" s="119">
        <f t="shared" si="205"/>
        <v>0</v>
      </c>
      <c r="AM497" s="119">
        <f t="shared" si="205"/>
        <v>0</v>
      </c>
      <c r="AN497" s="119">
        <f t="shared" si="205"/>
        <v>0</v>
      </c>
      <c r="AO497" s="119">
        <f t="shared" si="205"/>
        <v>0</v>
      </c>
      <c r="AP497" s="119">
        <f t="shared" si="205"/>
        <v>0</v>
      </c>
    </row>
    <row r="498" spans="1:42" x14ac:dyDescent="0.2">
      <c r="A498" s="23" t="s">
        <v>243</v>
      </c>
      <c r="B498" s="179">
        <f>SUM(IF(ISNUMBER(C498:AP498),C498:AP498))</f>
        <v>0</v>
      </c>
      <c r="C498" s="119">
        <f t="shared" ref="C498:AP498" si="206">IF(C2&lt;=analysis_period,C490/100*$Q$457,0)</f>
        <v>0</v>
      </c>
      <c r="D498" s="119">
        <f t="shared" si="206"/>
        <v>0</v>
      </c>
      <c r="E498" s="119">
        <f t="shared" si="206"/>
        <v>0</v>
      </c>
      <c r="F498" s="119">
        <f t="shared" si="206"/>
        <v>0</v>
      </c>
      <c r="G498" s="119">
        <f t="shared" si="206"/>
        <v>0</v>
      </c>
      <c r="H498" s="119">
        <f t="shared" si="206"/>
        <v>0</v>
      </c>
      <c r="I498" s="119">
        <f t="shared" si="206"/>
        <v>0</v>
      </c>
      <c r="J498" s="119">
        <f t="shared" si="206"/>
        <v>0</v>
      </c>
      <c r="K498" s="119">
        <f t="shared" si="206"/>
        <v>0</v>
      </c>
      <c r="L498" s="119">
        <f t="shared" si="206"/>
        <v>0</v>
      </c>
      <c r="M498" s="119">
        <f t="shared" si="206"/>
        <v>0</v>
      </c>
      <c r="N498" s="119">
        <f t="shared" si="206"/>
        <v>0</v>
      </c>
      <c r="O498" s="119">
        <f t="shared" si="206"/>
        <v>0</v>
      </c>
      <c r="P498" s="119">
        <f t="shared" si="206"/>
        <v>0</v>
      </c>
      <c r="Q498" s="119">
        <f t="shared" si="206"/>
        <v>0</v>
      </c>
      <c r="R498" s="119">
        <f t="shared" si="206"/>
        <v>0</v>
      </c>
      <c r="S498" s="119">
        <f t="shared" si="206"/>
        <v>0</v>
      </c>
      <c r="T498" s="119">
        <f t="shared" si="206"/>
        <v>0</v>
      </c>
      <c r="U498" s="119">
        <f t="shared" si="206"/>
        <v>0</v>
      </c>
      <c r="V498" s="119">
        <f t="shared" si="206"/>
        <v>0</v>
      </c>
      <c r="W498" s="119">
        <f t="shared" si="206"/>
        <v>0</v>
      </c>
      <c r="X498" s="119">
        <f t="shared" si="206"/>
        <v>0</v>
      </c>
      <c r="Y498" s="119">
        <f t="shared" si="206"/>
        <v>0</v>
      </c>
      <c r="Z498" s="119">
        <f t="shared" si="206"/>
        <v>0</v>
      </c>
      <c r="AA498" s="119">
        <f t="shared" si="206"/>
        <v>0</v>
      </c>
      <c r="AB498" s="119">
        <f t="shared" si="206"/>
        <v>0</v>
      </c>
      <c r="AC498" s="119">
        <f t="shared" si="206"/>
        <v>0</v>
      </c>
      <c r="AD498" s="119">
        <f t="shared" si="206"/>
        <v>0</v>
      </c>
      <c r="AE498" s="119">
        <f t="shared" si="206"/>
        <v>0</v>
      </c>
      <c r="AF498" s="119">
        <f t="shared" si="206"/>
        <v>0</v>
      </c>
      <c r="AG498" s="119">
        <f t="shared" si="206"/>
        <v>0</v>
      </c>
      <c r="AH498" s="119">
        <f t="shared" si="206"/>
        <v>0</v>
      </c>
      <c r="AI498" s="119">
        <f t="shared" si="206"/>
        <v>0</v>
      </c>
      <c r="AJ498" s="119">
        <f t="shared" si="206"/>
        <v>0</v>
      </c>
      <c r="AK498" s="119">
        <f t="shared" si="206"/>
        <v>0</v>
      </c>
      <c r="AL498" s="119">
        <f t="shared" si="206"/>
        <v>0</v>
      </c>
      <c r="AM498" s="119">
        <f t="shared" si="206"/>
        <v>0</v>
      </c>
      <c r="AN498" s="119">
        <f t="shared" si="206"/>
        <v>0</v>
      </c>
      <c r="AO498" s="119">
        <f t="shared" si="206"/>
        <v>0</v>
      </c>
      <c r="AP498" s="119">
        <f t="shared" si="206"/>
        <v>0</v>
      </c>
    </row>
    <row r="499" spans="1:42" x14ac:dyDescent="0.2">
      <c r="A499" s="23" t="s">
        <v>73</v>
      </c>
      <c r="B499" s="179">
        <f t="array" ref="B499">SUM(IF(ISNUMBER(C499:AP499),C499:AP499))</f>
        <v>0</v>
      </c>
      <c r="C499" s="120">
        <f>P458</f>
        <v>0</v>
      </c>
      <c r="D499" s="120">
        <v>0</v>
      </c>
      <c r="E499" s="120">
        <v>0</v>
      </c>
      <c r="F499" s="120">
        <v>0</v>
      </c>
      <c r="G499" s="120">
        <v>0</v>
      </c>
      <c r="H499" s="120">
        <v>0</v>
      </c>
      <c r="I499" s="120">
        <v>0</v>
      </c>
      <c r="J499" s="120">
        <v>0</v>
      </c>
      <c r="K499" s="120">
        <v>0</v>
      </c>
      <c r="L499" s="120">
        <v>0</v>
      </c>
      <c r="M499" s="120">
        <v>0</v>
      </c>
      <c r="N499" s="120">
        <v>0</v>
      </c>
      <c r="O499" s="120">
        <v>0</v>
      </c>
      <c r="P499" s="120">
        <v>0</v>
      </c>
      <c r="Q499" s="120">
        <v>0</v>
      </c>
      <c r="R499" s="120">
        <v>0</v>
      </c>
      <c r="S499" s="120">
        <v>0</v>
      </c>
      <c r="T499" s="120">
        <v>0</v>
      </c>
      <c r="U499" s="120">
        <v>0</v>
      </c>
      <c r="V499" s="120">
        <v>0</v>
      </c>
      <c r="W499" s="120">
        <v>0</v>
      </c>
      <c r="X499" s="120">
        <v>0</v>
      </c>
      <c r="Y499" s="120">
        <v>0</v>
      </c>
      <c r="Z499" s="120">
        <v>0</v>
      </c>
      <c r="AA499" s="120">
        <v>0</v>
      </c>
      <c r="AB499" s="120">
        <v>0</v>
      </c>
      <c r="AC499" s="120">
        <v>0</v>
      </c>
      <c r="AD499" s="120">
        <v>0</v>
      </c>
      <c r="AE499" s="120">
        <v>0</v>
      </c>
      <c r="AF499" s="120">
        <v>0</v>
      </c>
      <c r="AG499" s="120">
        <v>0</v>
      </c>
      <c r="AH499" s="120">
        <v>0</v>
      </c>
      <c r="AI499" s="120">
        <v>0</v>
      </c>
      <c r="AJ499" s="120">
        <v>0</v>
      </c>
      <c r="AK499" s="120">
        <v>0</v>
      </c>
      <c r="AL499" s="120">
        <v>0</v>
      </c>
      <c r="AM499" s="120">
        <v>0</v>
      </c>
      <c r="AN499" s="120">
        <v>0</v>
      </c>
      <c r="AO499" s="120">
        <v>0</v>
      </c>
      <c r="AP499" s="120">
        <v>0</v>
      </c>
    </row>
    <row r="500" spans="1:42" x14ac:dyDescent="0.2">
      <c r="A500" s="22"/>
      <c r="B500" s="180">
        <f t="array" ref="B500">SUM(IF(ISNUMBER(C500:AP500),C500:AP500))</f>
        <v>93511856.176721245</v>
      </c>
      <c r="C500" s="119">
        <f>SUM(C492:C499)</f>
        <v>17395652.113518748</v>
      </c>
      <c r="D500" s="119">
        <f t="shared" ref="D500:AP500" si="207">SUM(D492:D499)</f>
        <v>27929410.585168749</v>
      </c>
      <c r="E500" s="119">
        <f t="shared" si="207"/>
        <v>16947413.029075</v>
      </c>
      <c r="F500" s="119">
        <f t="shared" si="207"/>
        <v>10353510.92476375</v>
      </c>
      <c r="G500" s="119">
        <f t="shared" si="207"/>
        <v>10340576.105462501</v>
      </c>
      <c r="H500" s="119">
        <f t="shared" si="207"/>
        <v>5394099.6230649995</v>
      </c>
      <c r="I500" s="119">
        <f t="shared" si="207"/>
        <v>453838.57331875002</v>
      </c>
      <c r="J500" s="119">
        <f t="shared" si="207"/>
        <v>453838.57331875002</v>
      </c>
      <c r="K500" s="119">
        <f t="shared" si="207"/>
        <v>454006.55798500002</v>
      </c>
      <c r="L500" s="119">
        <f t="shared" si="207"/>
        <v>453838.57331875002</v>
      </c>
      <c r="M500" s="119">
        <f t="shared" si="207"/>
        <v>454006.55798500002</v>
      </c>
      <c r="N500" s="119">
        <f t="shared" si="207"/>
        <v>453558.59887500003</v>
      </c>
      <c r="O500" s="119">
        <f t="shared" si="207"/>
        <v>454006.55798500002</v>
      </c>
      <c r="P500" s="119">
        <f t="shared" si="207"/>
        <v>453558.59887500003</v>
      </c>
      <c r="Q500" s="119">
        <f t="shared" si="207"/>
        <v>453838.57331875002</v>
      </c>
      <c r="R500" s="119">
        <f t="shared" si="207"/>
        <v>310771.63256250002</v>
      </c>
      <c r="S500" s="119">
        <f t="shared" si="207"/>
        <v>167984.66625000001</v>
      </c>
      <c r="T500" s="119">
        <f t="shared" si="207"/>
        <v>167984.66625000001</v>
      </c>
      <c r="U500" s="119">
        <f t="shared" si="207"/>
        <v>167984.66625000001</v>
      </c>
      <c r="V500" s="119">
        <f t="shared" si="207"/>
        <v>167984.66625000001</v>
      </c>
      <c r="W500" s="119">
        <f t="shared" si="207"/>
        <v>83992.333125000005</v>
      </c>
      <c r="X500" s="119">
        <f t="shared" si="207"/>
        <v>0</v>
      </c>
      <c r="Y500" s="119">
        <f t="shared" si="207"/>
        <v>0</v>
      </c>
      <c r="Z500" s="119">
        <f t="shared" si="207"/>
        <v>0</v>
      </c>
      <c r="AA500" s="119">
        <f t="shared" si="207"/>
        <v>0</v>
      </c>
      <c r="AB500" s="119">
        <f t="shared" si="207"/>
        <v>0</v>
      </c>
      <c r="AC500" s="119">
        <f t="shared" si="207"/>
        <v>0</v>
      </c>
      <c r="AD500" s="119">
        <f t="shared" si="207"/>
        <v>0</v>
      </c>
      <c r="AE500" s="119">
        <f t="shared" si="207"/>
        <v>0</v>
      </c>
      <c r="AF500" s="119">
        <f t="shared" si="207"/>
        <v>0</v>
      </c>
      <c r="AG500" s="119">
        <f t="shared" si="207"/>
        <v>0</v>
      </c>
      <c r="AH500" s="119">
        <f t="shared" si="207"/>
        <v>0</v>
      </c>
      <c r="AI500" s="119">
        <f t="shared" si="207"/>
        <v>0</v>
      </c>
      <c r="AJ500" s="119">
        <f t="shared" si="207"/>
        <v>0</v>
      </c>
      <c r="AK500" s="119">
        <f t="shared" si="207"/>
        <v>0</v>
      </c>
      <c r="AL500" s="119">
        <f t="shared" si="207"/>
        <v>0</v>
      </c>
      <c r="AM500" s="119">
        <f t="shared" si="207"/>
        <v>0</v>
      </c>
      <c r="AN500" s="119">
        <f t="shared" si="207"/>
        <v>0</v>
      </c>
      <c r="AO500" s="119">
        <f t="shared" si="207"/>
        <v>0</v>
      </c>
      <c r="AP500" s="119">
        <f t="shared" si="207"/>
        <v>0</v>
      </c>
    </row>
    <row r="501" spans="1:42" x14ac:dyDescent="0.2">
      <c r="A501" s="22"/>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row>
    <row r="502" spans="1:42" x14ac:dyDescent="0.2">
      <c r="A502" s="18" t="s">
        <v>61</v>
      </c>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row>
    <row r="503" spans="1:42" x14ac:dyDescent="0.2">
      <c r="A503" s="22" t="s">
        <v>63</v>
      </c>
      <c r="B503" s="27" t="str">
        <f>equip_reserve_depr_fed</f>
        <v>5-yr MACRS</v>
      </c>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row>
    <row r="504" spans="1:42" x14ac:dyDescent="0.2">
      <c r="A504" s="22" t="s">
        <v>64</v>
      </c>
      <c r="B504" s="175">
        <f t="shared" ref="B504:AP504" si="208">B2</f>
        <v>0</v>
      </c>
      <c r="C504" s="175">
        <f t="shared" si="208"/>
        <v>1</v>
      </c>
      <c r="D504" s="175">
        <f t="shared" si="208"/>
        <v>2</v>
      </c>
      <c r="E504" s="175">
        <f t="shared" si="208"/>
        <v>3</v>
      </c>
      <c r="F504" s="175">
        <f t="shared" si="208"/>
        <v>4</v>
      </c>
      <c r="G504" s="175">
        <f t="shared" si="208"/>
        <v>5</v>
      </c>
      <c r="H504" s="175">
        <f t="shared" si="208"/>
        <v>6</v>
      </c>
      <c r="I504" s="175">
        <f t="shared" si="208"/>
        <v>7</v>
      </c>
      <c r="J504" s="175">
        <f t="shared" si="208"/>
        <v>8</v>
      </c>
      <c r="K504" s="175">
        <f t="shared" si="208"/>
        <v>9</v>
      </c>
      <c r="L504" s="175">
        <f t="shared" si="208"/>
        <v>10</v>
      </c>
      <c r="M504" s="175">
        <f t="shared" si="208"/>
        <v>11</v>
      </c>
      <c r="N504" s="175">
        <f t="shared" si="208"/>
        <v>12</v>
      </c>
      <c r="O504" s="175">
        <f t="shared" si="208"/>
        <v>13</v>
      </c>
      <c r="P504" s="175">
        <f t="shared" si="208"/>
        <v>14</v>
      </c>
      <c r="Q504" s="175">
        <f t="shared" si="208"/>
        <v>15</v>
      </c>
      <c r="R504" s="175">
        <f t="shared" si="208"/>
        <v>16</v>
      </c>
      <c r="S504" s="175">
        <f t="shared" si="208"/>
        <v>17</v>
      </c>
      <c r="T504" s="175">
        <f t="shared" si="208"/>
        <v>18</v>
      </c>
      <c r="U504" s="175">
        <f t="shared" si="208"/>
        <v>19</v>
      </c>
      <c r="V504" s="175">
        <f t="shared" si="208"/>
        <v>20</v>
      </c>
      <c r="W504" s="175">
        <f t="shared" si="208"/>
        <v>21</v>
      </c>
      <c r="X504" s="175">
        <f t="shared" si="208"/>
        <v>22</v>
      </c>
      <c r="Y504" s="175">
        <f t="shared" si="208"/>
        <v>23</v>
      </c>
      <c r="Z504" s="175">
        <f t="shared" si="208"/>
        <v>24</v>
      </c>
      <c r="AA504" s="175">
        <f t="shared" si="208"/>
        <v>25</v>
      </c>
      <c r="AB504" s="175">
        <f t="shared" si="208"/>
        <v>26</v>
      </c>
      <c r="AC504" s="175">
        <f t="shared" si="208"/>
        <v>27</v>
      </c>
      <c r="AD504" s="175">
        <f t="shared" si="208"/>
        <v>28</v>
      </c>
      <c r="AE504" s="175">
        <f t="shared" si="208"/>
        <v>29</v>
      </c>
      <c r="AF504" s="175">
        <f t="shared" si="208"/>
        <v>30</v>
      </c>
      <c r="AG504" s="175">
        <f t="shared" si="208"/>
        <v>31</v>
      </c>
      <c r="AH504" s="175">
        <f t="shared" si="208"/>
        <v>32</v>
      </c>
      <c r="AI504" s="175">
        <f t="shared" si="208"/>
        <v>33</v>
      </c>
      <c r="AJ504" s="175">
        <f t="shared" si="208"/>
        <v>34</v>
      </c>
      <c r="AK504" s="175">
        <f t="shared" si="208"/>
        <v>35</v>
      </c>
      <c r="AL504" s="175">
        <f t="shared" si="208"/>
        <v>36</v>
      </c>
      <c r="AM504" s="175">
        <f t="shared" si="208"/>
        <v>37</v>
      </c>
      <c r="AN504" s="175">
        <f t="shared" si="208"/>
        <v>38</v>
      </c>
      <c r="AO504" s="175">
        <f t="shared" si="208"/>
        <v>39</v>
      </c>
      <c r="AP504" s="175">
        <f t="shared" si="208"/>
        <v>40</v>
      </c>
    </row>
    <row r="505" spans="1:42" x14ac:dyDescent="0.2">
      <c r="A505" s="22" t="s">
        <v>65</v>
      </c>
      <c r="B505" s="174">
        <v>0</v>
      </c>
      <c r="C505" s="167">
        <f t="shared" ref="C505:AP505" si="209">IF($B$503=$A484,C484,0)+IF($B$503=$A485,C485,0)+IF($B$503=$A486,C486,0)+IF($B$503=$A487,C487,0)+IF($B$503=$A488,C488,0)+IF($B$503=$A489,C489,0)</f>
        <v>20</v>
      </c>
      <c r="D505" s="167">
        <f t="shared" si="209"/>
        <v>32</v>
      </c>
      <c r="E505" s="167">
        <f t="shared" si="209"/>
        <v>19.2</v>
      </c>
      <c r="F505" s="167">
        <f t="shared" si="209"/>
        <v>11.52</v>
      </c>
      <c r="G505" s="167">
        <f t="shared" si="209"/>
        <v>11.52</v>
      </c>
      <c r="H505" s="167">
        <f t="shared" si="209"/>
        <v>5.76</v>
      </c>
      <c r="I505" s="167">
        <f t="shared" si="209"/>
        <v>0</v>
      </c>
      <c r="J505" s="167">
        <f t="shared" si="209"/>
        <v>0</v>
      </c>
      <c r="K505" s="167">
        <f t="shared" si="209"/>
        <v>0</v>
      </c>
      <c r="L505" s="167">
        <f t="shared" si="209"/>
        <v>0</v>
      </c>
      <c r="M505" s="167">
        <f t="shared" si="209"/>
        <v>0</v>
      </c>
      <c r="N505" s="167">
        <f t="shared" si="209"/>
        <v>0</v>
      </c>
      <c r="O505" s="167">
        <f t="shared" si="209"/>
        <v>0</v>
      </c>
      <c r="P505" s="167">
        <f t="shared" si="209"/>
        <v>0</v>
      </c>
      <c r="Q505" s="167">
        <f t="shared" si="209"/>
        <v>0</v>
      </c>
      <c r="R505" s="167">
        <f t="shared" si="209"/>
        <v>0</v>
      </c>
      <c r="S505" s="167">
        <f t="shared" si="209"/>
        <v>0</v>
      </c>
      <c r="T505" s="167">
        <f t="shared" si="209"/>
        <v>0</v>
      </c>
      <c r="U505" s="167">
        <f t="shared" si="209"/>
        <v>0</v>
      </c>
      <c r="V505" s="167">
        <f t="shared" si="209"/>
        <v>0</v>
      </c>
      <c r="W505" s="167">
        <f t="shared" si="209"/>
        <v>0</v>
      </c>
      <c r="X505" s="167">
        <f t="shared" si="209"/>
        <v>0</v>
      </c>
      <c r="Y505" s="167">
        <f t="shared" si="209"/>
        <v>0</v>
      </c>
      <c r="Z505" s="167">
        <f t="shared" si="209"/>
        <v>0</v>
      </c>
      <c r="AA505" s="167">
        <f t="shared" si="209"/>
        <v>0</v>
      </c>
      <c r="AB505" s="167">
        <f t="shared" si="209"/>
        <v>0</v>
      </c>
      <c r="AC505" s="167">
        <f t="shared" si="209"/>
        <v>0</v>
      </c>
      <c r="AD505" s="167">
        <f t="shared" si="209"/>
        <v>0</v>
      </c>
      <c r="AE505" s="167">
        <f t="shared" si="209"/>
        <v>0</v>
      </c>
      <c r="AF505" s="167">
        <f t="shared" si="209"/>
        <v>0</v>
      </c>
      <c r="AG505" s="167">
        <f t="shared" si="209"/>
        <v>0</v>
      </c>
      <c r="AH505" s="167">
        <f t="shared" si="209"/>
        <v>0</v>
      </c>
      <c r="AI505" s="167">
        <f t="shared" si="209"/>
        <v>0</v>
      </c>
      <c r="AJ505" s="167">
        <f t="shared" si="209"/>
        <v>0</v>
      </c>
      <c r="AK505" s="167">
        <f t="shared" si="209"/>
        <v>0</v>
      </c>
      <c r="AL505" s="167">
        <f t="shared" si="209"/>
        <v>0</v>
      </c>
      <c r="AM505" s="167">
        <f t="shared" si="209"/>
        <v>0</v>
      </c>
      <c r="AN505" s="167">
        <f t="shared" si="209"/>
        <v>0</v>
      </c>
      <c r="AO505" s="167">
        <f t="shared" si="209"/>
        <v>0</v>
      </c>
      <c r="AP505" s="167">
        <f t="shared" si="209"/>
        <v>0</v>
      </c>
    </row>
    <row r="506" spans="1:42" x14ac:dyDescent="0.2">
      <c r="A506" s="18"/>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row>
    <row r="507" spans="1:42" x14ac:dyDescent="0.2">
      <c r="A507" s="18" t="s">
        <v>75</v>
      </c>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row>
    <row r="508" spans="1:42" x14ac:dyDescent="0.2">
      <c r="A508" s="22" t="s">
        <v>62</v>
      </c>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row>
    <row r="509" spans="1:42" x14ac:dyDescent="0.2">
      <c r="A509" s="4">
        <v>1</v>
      </c>
      <c r="C509" s="159">
        <f t="shared" ref="C509:AP509" si="210">C373</f>
        <v>0</v>
      </c>
      <c r="D509" s="159">
        <f t="shared" si="210"/>
        <v>0</v>
      </c>
      <c r="E509" s="159">
        <f t="shared" si="210"/>
        <v>0</v>
      </c>
      <c r="F509" s="159">
        <f t="shared" si="210"/>
        <v>0</v>
      </c>
      <c r="G509" s="159">
        <f t="shared" si="210"/>
        <v>0</v>
      </c>
      <c r="H509" s="159">
        <f t="shared" si="210"/>
        <v>0</v>
      </c>
      <c r="I509" s="159">
        <f t="shared" si="210"/>
        <v>0</v>
      </c>
      <c r="J509" s="159">
        <f t="shared" si="210"/>
        <v>0</v>
      </c>
      <c r="K509" s="159">
        <f t="shared" si="210"/>
        <v>0</v>
      </c>
      <c r="L509" s="159">
        <f t="shared" si="210"/>
        <v>0</v>
      </c>
      <c r="M509" s="159">
        <f t="shared" si="210"/>
        <v>0</v>
      </c>
      <c r="N509" s="159">
        <f t="shared" si="210"/>
        <v>0</v>
      </c>
      <c r="O509" s="159">
        <f t="shared" si="210"/>
        <v>0</v>
      </c>
      <c r="P509" s="159">
        <f t="shared" si="210"/>
        <v>0</v>
      </c>
      <c r="Q509" s="159">
        <f t="shared" si="210"/>
        <v>1</v>
      </c>
      <c r="R509" s="159">
        <f t="shared" si="210"/>
        <v>2</v>
      </c>
      <c r="S509" s="159">
        <f t="shared" si="210"/>
        <v>3</v>
      </c>
      <c r="T509" s="159">
        <f t="shared" si="210"/>
        <v>4</v>
      </c>
      <c r="U509" s="159">
        <f t="shared" si="210"/>
        <v>5</v>
      </c>
      <c r="V509" s="159">
        <f t="shared" si="210"/>
        <v>6</v>
      </c>
      <c r="W509" s="159">
        <f t="shared" si="210"/>
        <v>7</v>
      </c>
      <c r="X509" s="159">
        <f t="shared" si="210"/>
        <v>8</v>
      </c>
      <c r="Y509" s="159">
        <f t="shared" si="210"/>
        <v>9</v>
      </c>
      <c r="Z509" s="159">
        <f t="shared" si="210"/>
        <v>10</v>
      </c>
      <c r="AA509" s="159">
        <f t="shared" si="210"/>
        <v>11</v>
      </c>
      <c r="AB509" s="159">
        <f t="shared" si="210"/>
        <v>0</v>
      </c>
      <c r="AC509" s="159">
        <f t="shared" si="210"/>
        <v>0</v>
      </c>
      <c r="AD509" s="159">
        <f t="shared" si="210"/>
        <v>0</v>
      </c>
      <c r="AE509" s="159">
        <f t="shared" si="210"/>
        <v>0</v>
      </c>
      <c r="AF509" s="159">
        <f t="shared" si="210"/>
        <v>0</v>
      </c>
      <c r="AG509" s="159">
        <f t="shared" si="210"/>
        <v>0</v>
      </c>
      <c r="AH509" s="159">
        <f t="shared" si="210"/>
        <v>0</v>
      </c>
      <c r="AI509" s="159">
        <f t="shared" si="210"/>
        <v>0</v>
      </c>
      <c r="AJ509" s="159">
        <f t="shared" si="210"/>
        <v>0</v>
      </c>
      <c r="AK509" s="159">
        <f t="shared" si="210"/>
        <v>0</v>
      </c>
      <c r="AL509" s="159">
        <f t="shared" si="210"/>
        <v>0</v>
      </c>
      <c r="AM509" s="159">
        <f t="shared" si="210"/>
        <v>0</v>
      </c>
      <c r="AN509" s="159">
        <f t="shared" si="210"/>
        <v>0</v>
      </c>
      <c r="AO509" s="159">
        <f t="shared" si="210"/>
        <v>0</v>
      </c>
      <c r="AP509" s="159">
        <f t="shared" si="210"/>
        <v>0</v>
      </c>
    </row>
    <row r="510" spans="1:42" x14ac:dyDescent="0.2">
      <c r="A510" s="4">
        <f>A509+1</f>
        <v>2</v>
      </c>
      <c r="C510" s="159">
        <f t="shared" ref="C510:AP510" si="211">C374</f>
        <v>0</v>
      </c>
      <c r="D510" s="159">
        <f t="shared" si="211"/>
        <v>0</v>
      </c>
      <c r="E510" s="159">
        <f t="shared" si="211"/>
        <v>0</v>
      </c>
      <c r="F510" s="159">
        <f t="shared" si="211"/>
        <v>0</v>
      </c>
      <c r="G510" s="159">
        <f t="shared" si="211"/>
        <v>0</v>
      </c>
      <c r="H510" s="159">
        <f t="shared" si="211"/>
        <v>0</v>
      </c>
      <c r="I510" s="159">
        <f t="shared" si="211"/>
        <v>0</v>
      </c>
      <c r="J510" s="159">
        <f t="shared" si="211"/>
        <v>0</v>
      </c>
      <c r="K510" s="159">
        <f t="shared" si="211"/>
        <v>0</v>
      </c>
      <c r="L510" s="159">
        <f t="shared" si="211"/>
        <v>0</v>
      </c>
      <c r="M510" s="159">
        <f t="shared" si="211"/>
        <v>0</v>
      </c>
      <c r="N510" s="159">
        <f t="shared" si="211"/>
        <v>0</v>
      </c>
      <c r="O510" s="159">
        <f t="shared" si="211"/>
        <v>0</v>
      </c>
      <c r="P510" s="159">
        <f t="shared" si="211"/>
        <v>0</v>
      </c>
      <c r="Q510" s="159">
        <f t="shared" si="211"/>
        <v>0</v>
      </c>
      <c r="R510" s="159">
        <f t="shared" si="211"/>
        <v>0</v>
      </c>
      <c r="S510" s="159">
        <f t="shared" si="211"/>
        <v>0</v>
      </c>
      <c r="T510" s="159">
        <f t="shared" si="211"/>
        <v>0</v>
      </c>
      <c r="U510" s="159">
        <f t="shared" si="211"/>
        <v>0</v>
      </c>
      <c r="V510" s="159">
        <f t="shared" si="211"/>
        <v>0</v>
      </c>
      <c r="W510" s="159">
        <f t="shared" si="211"/>
        <v>0</v>
      </c>
      <c r="X510" s="159">
        <f t="shared" si="211"/>
        <v>0</v>
      </c>
      <c r="Y510" s="159">
        <f t="shared" si="211"/>
        <v>0</v>
      </c>
      <c r="Z510" s="159">
        <f t="shared" si="211"/>
        <v>0</v>
      </c>
      <c r="AA510" s="159">
        <f t="shared" si="211"/>
        <v>0</v>
      </c>
      <c r="AB510" s="159">
        <f t="shared" si="211"/>
        <v>0</v>
      </c>
      <c r="AC510" s="159">
        <f t="shared" si="211"/>
        <v>0</v>
      </c>
      <c r="AD510" s="159">
        <f t="shared" si="211"/>
        <v>0</v>
      </c>
      <c r="AE510" s="159">
        <f t="shared" si="211"/>
        <v>0</v>
      </c>
      <c r="AF510" s="159">
        <f t="shared" si="211"/>
        <v>0</v>
      </c>
      <c r="AG510" s="159">
        <f t="shared" si="211"/>
        <v>0</v>
      </c>
      <c r="AH510" s="159">
        <f t="shared" si="211"/>
        <v>0</v>
      </c>
      <c r="AI510" s="159">
        <f t="shared" si="211"/>
        <v>0</v>
      </c>
      <c r="AJ510" s="159">
        <f t="shared" si="211"/>
        <v>0</v>
      </c>
      <c r="AK510" s="159">
        <f t="shared" si="211"/>
        <v>0</v>
      </c>
      <c r="AL510" s="159">
        <f t="shared" si="211"/>
        <v>0</v>
      </c>
      <c r="AM510" s="159">
        <f t="shared" si="211"/>
        <v>0</v>
      </c>
      <c r="AN510" s="159">
        <f t="shared" si="211"/>
        <v>0</v>
      </c>
      <c r="AO510" s="159">
        <f t="shared" si="211"/>
        <v>0</v>
      </c>
      <c r="AP510" s="159">
        <f t="shared" si="211"/>
        <v>0</v>
      </c>
    </row>
    <row r="511" spans="1:42" x14ac:dyDescent="0.2">
      <c r="A511" s="4">
        <f t="shared" ref="A511:A516" si="212">A510+1</f>
        <v>3</v>
      </c>
      <c r="C511" s="159">
        <f t="shared" ref="C511:AP511" si="213">C375</f>
        <v>0</v>
      </c>
      <c r="D511" s="159">
        <f t="shared" si="213"/>
        <v>0</v>
      </c>
      <c r="E511" s="159">
        <f t="shared" si="213"/>
        <v>0</v>
      </c>
      <c r="F511" s="159">
        <f t="shared" si="213"/>
        <v>0</v>
      </c>
      <c r="G511" s="159">
        <f t="shared" si="213"/>
        <v>0</v>
      </c>
      <c r="H511" s="159">
        <f t="shared" si="213"/>
        <v>0</v>
      </c>
      <c r="I511" s="159">
        <f t="shared" si="213"/>
        <v>0</v>
      </c>
      <c r="J511" s="159">
        <f t="shared" si="213"/>
        <v>0</v>
      </c>
      <c r="K511" s="159">
        <f t="shared" si="213"/>
        <v>0</v>
      </c>
      <c r="L511" s="159">
        <f t="shared" si="213"/>
        <v>0</v>
      </c>
      <c r="M511" s="159">
        <f t="shared" si="213"/>
        <v>0</v>
      </c>
      <c r="N511" s="159">
        <f t="shared" si="213"/>
        <v>0</v>
      </c>
      <c r="O511" s="159">
        <f t="shared" si="213"/>
        <v>0</v>
      </c>
      <c r="P511" s="159">
        <f t="shared" si="213"/>
        <v>0</v>
      </c>
      <c r="Q511" s="159">
        <f t="shared" si="213"/>
        <v>0</v>
      </c>
      <c r="R511" s="159">
        <f t="shared" si="213"/>
        <v>0</v>
      </c>
      <c r="S511" s="159">
        <f t="shared" si="213"/>
        <v>0</v>
      </c>
      <c r="T511" s="159">
        <f t="shared" si="213"/>
        <v>0</v>
      </c>
      <c r="U511" s="159">
        <f t="shared" si="213"/>
        <v>0</v>
      </c>
      <c r="V511" s="159">
        <f t="shared" si="213"/>
        <v>0</v>
      </c>
      <c r="W511" s="159">
        <f t="shared" si="213"/>
        <v>0</v>
      </c>
      <c r="X511" s="159">
        <f t="shared" si="213"/>
        <v>0</v>
      </c>
      <c r="Y511" s="159">
        <f t="shared" si="213"/>
        <v>0</v>
      </c>
      <c r="Z511" s="159">
        <f t="shared" si="213"/>
        <v>0</v>
      </c>
      <c r="AA511" s="159">
        <f t="shared" si="213"/>
        <v>0</v>
      </c>
      <c r="AB511" s="159">
        <f t="shared" si="213"/>
        <v>0</v>
      </c>
      <c r="AC511" s="159">
        <f t="shared" si="213"/>
        <v>0</v>
      </c>
      <c r="AD511" s="159">
        <f t="shared" si="213"/>
        <v>0</v>
      </c>
      <c r="AE511" s="159">
        <f t="shared" si="213"/>
        <v>0</v>
      </c>
      <c r="AF511" s="159">
        <f t="shared" si="213"/>
        <v>0</v>
      </c>
      <c r="AG511" s="159">
        <f t="shared" si="213"/>
        <v>0</v>
      </c>
      <c r="AH511" s="159">
        <f t="shared" si="213"/>
        <v>0</v>
      </c>
      <c r="AI511" s="159">
        <f t="shared" si="213"/>
        <v>0</v>
      </c>
      <c r="AJ511" s="159">
        <f t="shared" si="213"/>
        <v>0</v>
      </c>
      <c r="AK511" s="159">
        <f t="shared" si="213"/>
        <v>0</v>
      </c>
      <c r="AL511" s="159">
        <f t="shared" si="213"/>
        <v>0</v>
      </c>
      <c r="AM511" s="159">
        <f t="shared" si="213"/>
        <v>0</v>
      </c>
      <c r="AN511" s="159">
        <f t="shared" si="213"/>
        <v>0</v>
      </c>
      <c r="AO511" s="159">
        <f t="shared" si="213"/>
        <v>0</v>
      </c>
      <c r="AP511" s="159">
        <f t="shared" si="213"/>
        <v>0</v>
      </c>
    </row>
    <row r="512" spans="1:42" x14ac:dyDescent="0.2">
      <c r="A512" s="4">
        <f t="shared" si="212"/>
        <v>4</v>
      </c>
      <c r="C512" s="159">
        <f t="shared" ref="C512:AP512" si="214">C376</f>
        <v>0</v>
      </c>
      <c r="D512" s="159">
        <f t="shared" si="214"/>
        <v>0</v>
      </c>
      <c r="E512" s="159">
        <f t="shared" si="214"/>
        <v>0</v>
      </c>
      <c r="F512" s="159">
        <f t="shared" si="214"/>
        <v>0</v>
      </c>
      <c r="G512" s="159">
        <f t="shared" si="214"/>
        <v>0</v>
      </c>
      <c r="H512" s="159">
        <f t="shared" si="214"/>
        <v>0</v>
      </c>
      <c r="I512" s="159">
        <f t="shared" si="214"/>
        <v>0</v>
      </c>
      <c r="J512" s="159">
        <f t="shared" si="214"/>
        <v>0</v>
      </c>
      <c r="K512" s="159">
        <f t="shared" si="214"/>
        <v>0</v>
      </c>
      <c r="L512" s="159">
        <f t="shared" si="214"/>
        <v>0</v>
      </c>
      <c r="M512" s="159">
        <f t="shared" si="214"/>
        <v>0</v>
      </c>
      <c r="N512" s="159">
        <f t="shared" si="214"/>
        <v>0</v>
      </c>
      <c r="O512" s="159">
        <f t="shared" si="214"/>
        <v>0</v>
      </c>
      <c r="P512" s="159">
        <f t="shared" si="214"/>
        <v>0</v>
      </c>
      <c r="Q512" s="159">
        <f t="shared" si="214"/>
        <v>0</v>
      </c>
      <c r="R512" s="159">
        <f t="shared" si="214"/>
        <v>0</v>
      </c>
      <c r="S512" s="159">
        <f t="shared" si="214"/>
        <v>0</v>
      </c>
      <c r="T512" s="159">
        <f t="shared" si="214"/>
        <v>0</v>
      </c>
      <c r="U512" s="159">
        <f t="shared" si="214"/>
        <v>0</v>
      </c>
      <c r="V512" s="159">
        <f t="shared" si="214"/>
        <v>0</v>
      </c>
      <c r="W512" s="159">
        <f t="shared" si="214"/>
        <v>0</v>
      </c>
      <c r="X512" s="159">
        <f t="shared" si="214"/>
        <v>0</v>
      </c>
      <c r="Y512" s="159">
        <f t="shared" si="214"/>
        <v>0</v>
      </c>
      <c r="Z512" s="159">
        <f t="shared" si="214"/>
        <v>0</v>
      </c>
      <c r="AA512" s="159">
        <f t="shared" si="214"/>
        <v>0</v>
      </c>
      <c r="AB512" s="159">
        <f t="shared" si="214"/>
        <v>0</v>
      </c>
      <c r="AC512" s="159">
        <f t="shared" si="214"/>
        <v>0</v>
      </c>
      <c r="AD512" s="159">
        <f t="shared" si="214"/>
        <v>0</v>
      </c>
      <c r="AE512" s="159">
        <f t="shared" si="214"/>
        <v>0</v>
      </c>
      <c r="AF512" s="159">
        <f t="shared" si="214"/>
        <v>0</v>
      </c>
      <c r="AG512" s="159">
        <f t="shared" si="214"/>
        <v>0</v>
      </c>
      <c r="AH512" s="159">
        <f t="shared" si="214"/>
        <v>0</v>
      </c>
      <c r="AI512" s="159">
        <f t="shared" si="214"/>
        <v>0</v>
      </c>
      <c r="AJ512" s="159">
        <f t="shared" si="214"/>
        <v>0</v>
      </c>
      <c r="AK512" s="159">
        <f t="shared" si="214"/>
        <v>0</v>
      </c>
      <c r="AL512" s="159">
        <f t="shared" si="214"/>
        <v>0</v>
      </c>
      <c r="AM512" s="159">
        <f t="shared" si="214"/>
        <v>0</v>
      </c>
      <c r="AN512" s="159">
        <f t="shared" si="214"/>
        <v>0</v>
      </c>
      <c r="AO512" s="159">
        <f t="shared" si="214"/>
        <v>0</v>
      </c>
      <c r="AP512" s="159">
        <f t="shared" si="214"/>
        <v>0</v>
      </c>
    </row>
    <row r="513" spans="1:42" x14ac:dyDescent="0.2">
      <c r="A513" s="4">
        <f t="shared" si="212"/>
        <v>5</v>
      </c>
      <c r="C513" s="159">
        <f t="shared" ref="C513:AP513" si="215">C377</f>
        <v>0</v>
      </c>
      <c r="D513" s="159">
        <f t="shared" si="215"/>
        <v>0</v>
      </c>
      <c r="E513" s="159">
        <f t="shared" si="215"/>
        <v>0</v>
      </c>
      <c r="F513" s="159">
        <f t="shared" si="215"/>
        <v>0</v>
      </c>
      <c r="G513" s="159">
        <f t="shared" si="215"/>
        <v>0</v>
      </c>
      <c r="H513" s="159">
        <f t="shared" si="215"/>
        <v>0</v>
      </c>
      <c r="I513" s="159">
        <f t="shared" si="215"/>
        <v>0</v>
      </c>
      <c r="J513" s="159">
        <f t="shared" si="215"/>
        <v>0</v>
      </c>
      <c r="K513" s="159">
        <f t="shared" si="215"/>
        <v>0</v>
      </c>
      <c r="L513" s="159">
        <f t="shared" si="215"/>
        <v>0</v>
      </c>
      <c r="M513" s="159">
        <f t="shared" si="215"/>
        <v>0</v>
      </c>
      <c r="N513" s="159">
        <f t="shared" si="215"/>
        <v>0</v>
      </c>
      <c r="O513" s="159">
        <f t="shared" si="215"/>
        <v>0</v>
      </c>
      <c r="P513" s="159">
        <f t="shared" si="215"/>
        <v>0</v>
      </c>
      <c r="Q513" s="159">
        <f t="shared" si="215"/>
        <v>0</v>
      </c>
      <c r="R513" s="159">
        <f t="shared" si="215"/>
        <v>0</v>
      </c>
      <c r="S513" s="159">
        <f t="shared" si="215"/>
        <v>0</v>
      </c>
      <c r="T513" s="159">
        <f t="shared" si="215"/>
        <v>0</v>
      </c>
      <c r="U513" s="159">
        <f t="shared" si="215"/>
        <v>0</v>
      </c>
      <c r="V513" s="159">
        <f t="shared" si="215"/>
        <v>0</v>
      </c>
      <c r="W513" s="159">
        <f t="shared" si="215"/>
        <v>0</v>
      </c>
      <c r="X513" s="159">
        <f t="shared" si="215"/>
        <v>0</v>
      </c>
      <c r="Y513" s="159">
        <f t="shared" si="215"/>
        <v>0</v>
      </c>
      <c r="Z513" s="159">
        <f t="shared" si="215"/>
        <v>0</v>
      </c>
      <c r="AA513" s="159">
        <f t="shared" si="215"/>
        <v>0</v>
      </c>
      <c r="AB513" s="159">
        <f t="shared" si="215"/>
        <v>0</v>
      </c>
      <c r="AC513" s="159">
        <f t="shared" si="215"/>
        <v>0</v>
      </c>
      <c r="AD513" s="159">
        <f t="shared" si="215"/>
        <v>0</v>
      </c>
      <c r="AE513" s="159">
        <f t="shared" si="215"/>
        <v>0</v>
      </c>
      <c r="AF513" s="159">
        <f t="shared" si="215"/>
        <v>0</v>
      </c>
      <c r="AG513" s="159">
        <f t="shared" si="215"/>
        <v>0</v>
      </c>
      <c r="AH513" s="159">
        <f t="shared" si="215"/>
        <v>0</v>
      </c>
      <c r="AI513" s="159">
        <f t="shared" si="215"/>
        <v>0</v>
      </c>
      <c r="AJ513" s="159">
        <f t="shared" si="215"/>
        <v>0</v>
      </c>
      <c r="AK513" s="159">
        <f t="shared" si="215"/>
        <v>0</v>
      </c>
      <c r="AL513" s="159">
        <f t="shared" si="215"/>
        <v>0</v>
      </c>
      <c r="AM513" s="159">
        <f t="shared" si="215"/>
        <v>0</v>
      </c>
      <c r="AN513" s="159">
        <f t="shared" si="215"/>
        <v>0</v>
      </c>
      <c r="AO513" s="159">
        <f t="shared" si="215"/>
        <v>0</v>
      </c>
      <c r="AP513" s="159">
        <f t="shared" si="215"/>
        <v>0</v>
      </c>
    </row>
    <row r="514" spans="1:42" x14ac:dyDescent="0.2">
      <c r="A514" s="4">
        <f t="shared" si="212"/>
        <v>6</v>
      </c>
      <c r="C514" s="159">
        <f t="shared" ref="C514:AP514" si="216">C378</f>
        <v>0</v>
      </c>
      <c r="D514" s="159">
        <f t="shared" si="216"/>
        <v>0</v>
      </c>
      <c r="E514" s="159">
        <f t="shared" si="216"/>
        <v>0</v>
      </c>
      <c r="F514" s="159">
        <f t="shared" si="216"/>
        <v>0</v>
      </c>
      <c r="G514" s="159">
        <f t="shared" si="216"/>
        <v>0</v>
      </c>
      <c r="H514" s="159">
        <f t="shared" si="216"/>
        <v>0</v>
      </c>
      <c r="I514" s="159">
        <f t="shared" si="216"/>
        <v>0</v>
      </c>
      <c r="J514" s="159">
        <f t="shared" si="216"/>
        <v>0</v>
      </c>
      <c r="K514" s="159">
        <f t="shared" si="216"/>
        <v>0</v>
      </c>
      <c r="L514" s="159">
        <f t="shared" si="216"/>
        <v>0</v>
      </c>
      <c r="M514" s="159">
        <f t="shared" si="216"/>
        <v>0</v>
      </c>
      <c r="N514" s="159">
        <f t="shared" si="216"/>
        <v>0</v>
      </c>
      <c r="O514" s="159">
        <f t="shared" si="216"/>
        <v>0</v>
      </c>
      <c r="P514" s="159">
        <f t="shared" si="216"/>
        <v>0</v>
      </c>
      <c r="Q514" s="159">
        <f t="shared" si="216"/>
        <v>0</v>
      </c>
      <c r="R514" s="159">
        <f t="shared" si="216"/>
        <v>0</v>
      </c>
      <c r="S514" s="159">
        <f t="shared" si="216"/>
        <v>0</v>
      </c>
      <c r="T514" s="159">
        <f t="shared" si="216"/>
        <v>0</v>
      </c>
      <c r="U514" s="159">
        <f t="shared" si="216"/>
        <v>0</v>
      </c>
      <c r="V514" s="159">
        <f t="shared" si="216"/>
        <v>0</v>
      </c>
      <c r="W514" s="159">
        <f t="shared" si="216"/>
        <v>0</v>
      </c>
      <c r="X514" s="159">
        <f t="shared" si="216"/>
        <v>0</v>
      </c>
      <c r="Y514" s="159">
        <f t="shared" si="216"/>
        <v>0</v>
      </c>
      <c r="Z514" s="159">
        <f t="shared" si="216"/>
        <v>0</v>
      </c>
      <c r="AA514" s="159">
        <f t="shared" si="216"/>
        <v>0</v>
      </c>
      <c r="AB514" s="159">
        <f t="shared" si="216"/>
        <v>0</v>
      </c>
      <c r="AC514" s="159">
        <f t="shared" si="216"/>
        <v>0</v>
      </c>
      <c r="AD514" s="159">
        <f t="shared" si="216"/>
        <v>0</v>
      </c>
      <c r="AE514" s="159">
        <f t="shared" si="216"/>
        <v>0</v>
      </c>
      <c r="AF514" s="159">
        <f t="shared" si="216"/>
        <v>0</v>
      </c>
      <c r="AG514" s="159">
        <f t="shared" si="216"/>
        <v>0</v>
      </c>
      <c r="AH514" s="159">
        <f t="shared" si="216"/>
        <v>0</v>
      </c>
      <c r="AI514" s="159">
        <f t="shared" si="216"/>
        <v>0</v>
      </c>
      <c r="AJ514" s="159">
        <f t="shared" si="216"/>
        <v>0</v>
      </c>
      <c r="AK514" s="159">
        <f t="shared" si="216"/>
        <v>0</v>
      </c>
      <c r="AL514" s="159">
        <f t="shared" si="216"/>
        <v>0</v>
      </c>
      <c r="AM514" s="159">
        <f t="shared" si="216"/>
        <v>0</v>
      </c>
      <c r="AN514" s="159">
        <f t="shared" si="216"/>
        <v>0</v>
      </c>
      <c r="AO514" s="159">
        <f t="shared" si="216"/>
        <v>0</v>
      </c>
      <c r="AP514" s="159">
        <f t="shared" si="216"/>
        <v>0</v>
      </c>
    </row>
    <row r="515" spans="1:42" x14ac:dyDescent="0.2">
      <c r="A515" s="4">
        <f t="shared" si="212"/>
        <v>7</v>
      </c>
      <c r="C515" s="159">
        <f t="shared" ref="C515:AP515" si="217">C379</f>
        <v>0</v>
      </c>
      <c r="D515" s="159">
        <f t="shared" si="217"/>
        <v>0</v>
      </c>
      <c r="E515" s="159">
        <f t="shared" si="217"/>
        <v>0</v>
      </c>
      <c r="F515" s="159">
        <f t="shared" si="217"/>
        <v>0</v>
      </c>
      <c r="G515" s="159">
        <f t="shared" si="217"/>
        <v>0</v>
      </c>
      <c r="H515" s="159">
        <f t="shared" si="217"/>
        <v>0</v>
      </c>
      <c r="I515" s="159">
        <f t="shared" si="217"/>
        <v>0</v>
      </c>
      <c r="J515" s="159">
        <f t="shared" si="217"/>
        <v>0</v>
      </c>
      <c r="K515" s="159">
        <f t="shared" si="217"/>
        <v>0</v>
      </c>
      <c r="L515" s="159">
        <f t="shared" si="217"/>
        <v>0</v>
      </c>
      <c r="M515" s="159">
        <f t="shared" si="217"/>
        <v>0</v>
      </c>
      <c r="N515" s="159">
        <f t="shared" si="217"/>
        <v>0</v>
      </c>
      <c r="O515" s="159">
        <f t="shared" si="217"/>
        <v>0</v>
      </c>
      <c r="P515" s="159">
        <f t="shared" si="217"/>
        <v>0</v>
      </c>
      <c r="Q515" s="159">
        <f t="shared" si="217"/>
        <v>0</v>
      </c>
      <c r="R515" s="159">
        <f t="shared" si="217"/>
        <v>0</v>
      </c>
      <c r="S515" s="159">
        <f t="shared" si="217"/>
        <v>0</v>
      </c>
      <c r="T515" s="159">
        <f t="shared" si="217"/>
        <v>0</v>
      </c>
      <c r="U515" s="159">
        <f t="shared" si="217"/>
        <v>0</v>
      </c>
      <c r="V515" s="159">
        <f t="shared" si="217"/>
        <v>0</v>
      </c>
      <c r="W515" s="159">
        <f t="shared" si="217"/>
        <v>0</v>
      </c>
      <c r="X515" s="159">
        <f t="shared" si="217"/>
        <v>0</v>
      </c>
      <c r="Y515" s="159">
        <f t="shared" si="217"/>
        <v>0</v>
      </c>
      <c r="Z515" s="159">
        <f t="shared" si="217"/>
        <v>0</v>
      </c>
      <c r="AA515" s="159">
        <f t="shared" si="217"/>
        <v>0</v>
      </c>
      <c r="AB515" s="159">
        <f t="shared" si="217"/>
        <v>0</v>
      </c>
      <c r="AC515" s="159">
        <f t="shared" si="217"/>
        <v>0</v>
      </c>
      <c r="AD515" s="159">
        <f t="shared" si="217"/>
        <v>0</v>
      </c>
      <c r="AE515" s="159">
        <f t="shared" si="217"/>
        <v>0</v>
      </c>
      <c r="AF515" s="159">
        <f t="shared" si="217"/>
        <v>0</v>
      </c>
      <c r="AG515" s="159">
        <f t="shared" si="217"/>
        <v>0</v>
      </c>
      <c r="AH515" s="159">
        <f t="shared" si="217"/>
        <v>0</v>
      </c>
      <c r="AI515" s="159">
        <f t="shared" si="217"/>
        <v>0</v>
      </c>
      <c r="AJ515" s="159">
        <f t="shared" si="217"/>
        <v>0</v>
      </c>
      <c r="AK515" s="159">
        <f t="shared" si="217"/>
        <v>0</v>
      </c>
      <c r="AL515" s="159">
        <f t="shared" si="217"/>
        <v>0</v>
      </c>
      <c r="AM515" s="159">
        <f t="shared" si="217"/>
        <v>0</v>
      </c>
      <c r="AN515" s="159">
        <f t="shared" si="217"/>
        <v>0</v>
      </c>
      <c r="AO515" s="159">
        <f t="shared" si="217"/>
        <v>0</v>
      </c>
      <c r="AP515" s="159">
        <f t="shared" si="217"/>
        <v>0</v>
      </c>
    </row>
    <row r="516" spans="1:42" x14ac:dyDescent="0.2">
      <c r="A516" s="4">
        <f t="shared" si="212"/>
        <v>8</v>
      </c>
      <c r="C516" s="159">
        <f t="shared" ref="C516:AP516" si="218">C380</f>
        <v>0</v>
      </c>
      <c r="D516" s="159">
        <f t="shared" si="218"/>
        <v>0</v>
      </c>
      <c r="E516" s="159">
        <f t="shared" si="218"/>
        <v>0</v>
      </c>
      <c r="F516" s="159">
        <f t="shared" si="218"/>
        <v>0</v>
      </c>
      <c r="G516" s="159">
        <f t="shared" si="218"/>
        <v>0</v>
      </c>
      <c r="H516" s="159">
        <f t="shared" si="218"/>
        <v>0</v>
      </c>
      <c r="I516" s="159">
        <f t="shared" si="218"/>
        <v>0</v>
      </c>
      <c r="J516" s="159">
        <f t="shared" si="218"/>
        <v>0</v>
      </c>
      <c r="K516" s="159">
        <f t="shared" si="218"/>
        <v>0</v>
      </c>
      <c r="L516" s="159">
        <f t="shared" si="218"/>
        <v>0</v>
      </c>
      <c r="M516" s="159">
        <f t="shared" si="218"/>
        <v>0</v>
      </c>
      <c r="N516" s="159">
        <f t="shared" si="218"/>
        <v>0</v>
      </c>
      <c r="O516" s="159">
        <f t="shared" si="218"/>
        <v>0</v>
      </c>
      <c r="P516" s="159">
        <f t="shared" si="218"/>
        <v>0</v>
      </c>
      <c r="Q516" s="159">
        <f t="shared" si="218"/>
        <v>0</v>
      </c>
      <c r="R516" s="159">
        <f t="shared" si="218"/>
        <v>0</v>
      </c>
      <c r="S516" s="159">
        <f t="shared" si="218"/>
        <v>0</v>
      </c>
      <c r="T516" s="159">
        <f t="shared" si="218"/>
        <v>0</v>
      </c>
      <c r="U516" s="159">
        <f t="shared" si="218"/>
        <v>0</v>
      </c>
      <c r="V516" s="159">
        <f t="shared" si="218"/>
        <v>0</v>
      </c>
      <c r="W516" s="159">
        <f t="shared" si="218"/>
        <v>0</v>
      </c>
      <c r="X516" s="159">
        <f t="shared" si="218"/>
        <v>0</v>
      </c>
      <c r="Y516" s="159">
        <f t="shared" si="218"/>
        <v>0</v>
      </c>
      <c r="Z516" s="159">
        <f t="shared" si="218"/>
        <v>0</v>
      </c>
      <c r="AA516" s="159">
        <f t="shared" si="218"/>
        <v>0</v>
      </c>
      <c r="AB516" s="159">
        <f t="shared" si="218"/>
        <v>0</v>
      </c>
      <c r="AC516" s="159">
        <f t="shared" si="218"/>
        <v>0</v>
      </c>
      <c r="AD516" s="159">
        <f t="shared" si="218"/>
        <v>0</v>
      </c>
      <c r="AE516" s="159">
        <f t="shared" si="218"/>
        <v>0</v>
      </c>
      <c r="AF516" s="159">
        <f t="shared" si="218"/>
        <v>0</v>
      </c>
      <c r="AG516" s="159">
        <f t="shared" si="218"/>
        <v>0</v>
      </c>
      <c r="AH516" s="159">
        <f t="shared" si="218"/>
        <v>0</v>
      </c>
      <c r="AI516" s="159">
        <f t="shared" si="218"/>
        <v>0</v>
      </c>
      <c r="AJ516" s="159">
        <f t="shared" si="218"/>
        <v>0</v>
      </c>
      <c r="AK516" s="159">
        <f t="shared" si="218"/>
        <v>0</v>
      </c>
      <c r="AL516" s="159">
        <f t="shared" si="218"/>
        <v>0</v>
      </c>
      <c r="AM516" s="159">
        <f t="shared" si="218"/>
        <v>0</v>
      </c>
      <c r="AN516" s="159">
        <f t="shared" si="218"/>
        <v>0</v>
      </c>
      <c r="AO516" s="159">
        <f t="shared" si="218"/>
        <v>0</v>
      </c>
      <c r="AP516" s="159">
        <f t="shared" si="218"/>
        <v>0</v>
      </c>
    </row>
    <row r="517" spans="1:42" x14ac:dyDescent="0.2">
      <c r="A517" s="4">
        <f>A516+1</f>
        <v>9</v>
      </c>
      <c r="C517" s="159">
        <f t="shared" ref="C517:AP517" si="219">C381</f>
        <v>0</v>
      </c>
      <c r="D517" s="159">
        <f t="shared" si="219"/>
        <v>0</v>
      </c>
      <c r="E517" s="159">
        <f t="shared" si="219"/>
        <v>0</v>
      </c>
      <c r="F517" s="159">
        <f t="shared" si="219"/>
        <v>0</v>
      </c>
      <c r="G517" s="159">
        <f t="shared" si="219"/>
        <v>0</v>
      </c>
      <c r="H517" s="159">
        <f t="shared" si="219"/>
        <v>0</v>
      </c>
      <c r="I517" s="159">
        <f t="shared" si="219"/>
        <v>0</v>
      </c>
      <c r="J517" s="159">
        <f t="shared" si="219"/>
        <v>0</v>
      </c>
      <c r="K517" s="159">
        <f t="shared" si="219"/>
        <v>0</v>
      </c>
      <c r="L517" s="159">
        <f t="shared" si="219"/>
        <v>0</v>
      </c>
      <c r="M517" s="159">
        <f t="shared" si="219"/>
        <v>0</v>
      </c>
      <c r="N517" s="159">
        <f t="shared" si="219"/>
        <v>0</v>
      </c>
      <c r="O517" s="159">
        <f t="shared" si="219"/>
        <v>0</v>
      </c>
      <c r="P517" s="159">
        <f t="shared" si="219"/>
        <v>0</v>
      </c>
      <c r="Q517" s="159">
        <f t="shared" si="219"/>
        <v>0</v>
      </c>
      <c r="R517" s="159">
        <f t="shared" si="219"/>
        <v>0</v>
      </c>
      <c r="S517" s="159">
        <f t="shared" si="219"/>
        <v>0</v>
      </c>
      <c r="T517" s="159">
        <f t="shared" si="219"/>
        <v>0</v>
      </c>
      <c r="U517" s="159">
        <f t="shared" si="219"/>
        <v>0</v>
      </c>
      <c r="V517" s="159">
        <f t="shared" si="219"/>
        <v>0</v>
      </c>
      <c r="W517" s="159">
        <f t="shared" si="219"/>
        <v>0</v>
      </c>
      <c r="X517" s="159">
        <f t="shared" si="219"/>
        <v>0</v>
      </c>
      <c r="Y517" s="159">
        <f t="shared" si="219"/>
        <v>0</v>
      </c>
      <c r="Z517" s="159">
        <f t="shared" si="219"/>
        <v>0</v>
      </c>
      <c r="AA517" s="159">
        <f t="shared" si="219"/>
        <v>0</v>
      </c>
      <c r="AB517" s="159">
        <f t="shared" si="219"/>
        <v>0</v>
      </c>
      <c r="AC517" s="159">
        <f t="shared" si="219"/>
        <v>0</v>
      </c>
      <c r="AD517" s="159">
        <f t="shared" si="219"/>
        <v>0</v>
      </c>
      <c r="AE517" s="159">
        <f t="shared" si="219"/>
        <v>0</v>
      </c>
      <c r="AF517" s="159">
        <f t="shared" si="219"/>
        <v>0</v>
      </c>
      <c r="AG517" s="159">
        <f t="shared" si="219"/>
        <v>0</v>
      </c>
      <c r="AH517" s="159">
        <f t="shared" si="219"/>
        <v>0</v>
      </c>
      <c r="AI517" s="159">
        <f t="shared" si="219"/>
        <v>0</v>
      </c>
      <c r="AJ517" s="159">
        <f t="shared" si="219"/>
        <v>0</v>
      </c>
      <c r="AK517" s="159">
        <f t="shared" si="219"/>
        <v>0</v>
      </c>
      <c r="AL517" s="159">
        <f t="shared" si="219"/>
        <v>0</v>
      </c>
      <c r="AM517" s="159">
        <f t="shared" si="219"/>
        <v>0</v>
      </c>
      <c r="AN517" s="159">
        <f t="shared" si="219"/>
        <v>0</v>
      </c>
      <c r="AO517" s="159">
        <f t="shared" si="219"/>
        <v>0</v>
      </c>
      <c r="AP517" s="159">
        <f t="shared" si="219"/>
        <v>0</v>
      </c>
    </row>
    <row r="518" spans="1:42" x14ac:dyDescent="0.2">
      <c r="A518" s="4">
        <f t="shared" ref="A518" si="220">A517+1</f>
        <v>10</v>
      </c>
      <c r="C518" s="159">
        <f t="shared" ref="C518:AP518" si="221">C382</f>
        <v>0</v>
      </c>
      <c r="D518" s="159">
        <f t="shared" si="221"/>
        <v>0</v>
      </c>
      <c r="E518" s="159">
        <f t="shared" si="221"/>
        <v>0</v>
      </c>
      <c r="F518" s="159">
        <f t="shared" si="221"/>
        <v>0</v>
      </c>
      <c r="G518" s="159">
        <f t="shared" si="221"/>
        <v>0</v>
      </c>
      <c r="H518" s="159">
        <f t="shared" si="221"/>
        <v>0</v>
      </c>
      <c r="I518" s="159">
        <f t="shared" si="221"/>
        <v>0</v>
      </c>
      <c r="J518" s="159">
        <f t="shared" si="221"/>
        <v>0</v>
      </c>
      <c r="K518" s="159">
        <f t="shared" si="221"/>
        <v>0</v>
      </c>
      <c r="L518" s="159">
        <f t="shared" si="221"/>
        <v>0</v>
      </c>
      <c r="M518" s="159">
        <f t="shared" si="221"/>
        <v>0</v>
      </c>
      <c r="N518" s="159">
        <f t="shared" si="221"/>
        <v>0</v>
      </c>
      <c r="O518" s="159">
        <f t="shared" si="221"/>
        <v>0</v>
      </c>
      <c r="P518" s="159">
        <f t="shared" si="221"/>
        <v>0</v>
      </c>
      <c r="Q518" s="159">
        <f t="shared" si="221"/>
        <v>0</v>
      </c>
      <c r="R518" s="159">
        <f t="shared" si="221"/>
        <v>0</v>
      </c>
      <c r="S518" s="159">
        <f t="shared" si="221"/>
        <v>0</v>
      </c>
      <c r="T518" s="159">
        <f t="shared" si="221"/>
        <v>0</v>
      </c>
      <c r="U518" s="159">
        <f t="shared" si="221"/>
        <v>0</v>
      </c>
      <c r="V518" s="159">
        <f t="shared" si="221"/>
        <v>0</v>
      </c>
      <c r="W518" s="159">
        <f t="shared" si="221"/>
        <v>0</v>
      </c>
      <c r="X518" s="159">
        <f t="shared" si="221"/>
        <v>0</v>
      </c>
      <c r="Y518" s="159">
        <f t="shared" si="221"/>
        <v>0</v>
      </c>
      <c r="Z518" s="159">
        <f t="shared" si="221"/>
        <v>0</v>
      </c>
      <c r="AA518" s="159">
        <f t="shared" si="221"/>
        <v>0</v>
      </c>
      <c r="AB518" s="159">
        <f t="shared" si="221"/>
        <v>0</v>
      </c>
      <c r="AC518" s="159">
        <f t="shared" si="221"/>
        <v>0</v>
      </c>
      <c r="AD518" s="159">
        <f t="shared" si="221"/>
        <v>0</v>
      </c>
      <c r="AE518" s="159">
        <f t="shared" si="221"/>
        <v>0</v>
      </c>
      <c r="AF518" s="159">
        <f t="shared" si="221"/>
        <v>0</v>
      </c>
      <c r="AG518" s="159">
        <f t="shared" si="221"/>
        <v>0</v>
      </c>
      <c r="AH518" s="159">
        <f t="shared" si="221"/>
        <v>0</v>
      </c>
      <c r="AI518" s="159">
        <f t="shared" si="221"/>
        <v>0</v>
      </c>
      <c r="AJ518" s="159">
        <f t="shared" si="221"/>
        <v>0</v>
      </c>
      <c r="AK518" s="159">
        <f t="shared" si="221"/>
        <v>0</v>
      </c>
      <c r="AL518" s="159">
        <f t="shared" si="221"/>
        <v>0</v>
      </c>
      <c r="AM518" s="159">
        <f t="shared" si="221"/>
        <v>0</v>
      </c>
      <c r="AN518" s="159">
        <f t="shared" si="221"/>
        <v>0</v>
      </c>
      <c r="AO518" s="159">
        <f t="shared" si="221"/>
        <v>0</v>
      </c>
      <c r="AP518" s="159">
        <f t="shared" si="221"/>
        <v>0</v>
      </c>
    </row>
    <row r="519" spans="1:42" x14ac:dyDescent="0.2">
      <c r="A519" s="22"/>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row>
    <row r="520" spans="1:42" x14ac:dyDescent="0.2">
      <c r="A520" s="22" t="s">
        <v>66</v>
      </c>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row>
    <row r="521" spans="1:42" x14ac:dyDescent="0.2">
      <c r="A521" s="4">
        <v>1</v>
      </c>
      <c r="B521" s="176">
        <f t="shared" ref="B521:B530" si="222">SUM(C521:AP521)</f>
        <v>14129738.209737662</v>
      </c>
      <c r="C521" s="178">
        <f t="shared" ref="C521:AP521" si="223">LOOKUP(C509,$B$504:$AP$504,$B$505:$AP$505)*$B680/100</f>
        <v>0</v>
      </c>
      <c r="D521" s="159">
        <f t="shared" si="223"/>
        <v>0</v>
      </c>
      <c r="E521" s="159">
        <f t="shared" si="223"/>
        <v>0</v>
      </c>
      <c r="F521" s="159">
        <f t="shared" si="223"/>
        <v>0</v>
      </c>
      <c r="G521" s="159">
        <f t="shared" si="223"/>
        <v>0</v>
      </c>
      <c r="H521" s="159">
        <f t="shared" si="223"/>
        <v>0</v>
      </c>
      <c r="I521" s="159">
        <f t="shared" si="223"/>
        <v>0</v>
      </c>
      <c r="J521" s="159">
        <f t="shared" si="223"/>
        <v>0</v>
      </c>
      <c r="K521" s="159">
        <f t="shared" si="223"/>
        <v>0</v>
      </c>
      <c r="L521" s="159">
        <f t="shared" si="223"/>
        <v>0</v>
      </c>
      <c r="M521" s="159">
        <f t="shared" si="223"/>
        <v>0</v>
      </c>
      <c r="N521" s="159">
        <f t="shared" si="223"/>
        <v>0</v>
      </c>
      <c r="O521" s="159">
        <f t="shared" si="223"/>
        <v>0</v>
      </c>
      <c r="P521" s="159">
        <f t="shared" si="223"/>
        <v>0</v>
      </c>
      <c r="Q521" s="159">
        <f t="shared" si="223"/>
        <v>2825947.6419475321</v>
      </c>
      <c r="R521" s="159">
        <f t="shared" si="223"/>
        <v>4521516.2271160511</v>
      </c>
      <c r="S521" s="159">
        <f t="shared" si="223"/>
        <v>2712909.736269631</v>
      </c>
      <c r="T521" s="159">
        <f t="shared" si="223"/>
        <v>1627745.8417617783</v>
      </c>
      <c r="U521" s="159">
        <f t="shared" si="223"/>
        <v>1627745.8417617783</v>
      </c>
      <c r="V521" s="159">
        <f t="shared" si="223"/>
        <v>813872.92088088917</v>
      </c>
      <c r="W521" s="159">
        <f t="shared" si="223"/>
        <v>0</v>
      </c>
      <c r="X521" s="159">
        <f t="shared" si="223"/>
        <v>0</v>
      </c>
      <c r="Y521" s="159">
        <f t="shared" si="223"/>
        <v>0</v>
      </c>
      <c r="Z521" s="159">
        <f t="shared" si="223"/>
        <v>0</v>
      </c>
      <c r="AA521" s="159">
        <f t="shared" si="223"/>
        <v>0</v>
      </c>
      <c r="AB521" s="159">
        <f t="shared" si="223"/>
        <v>0</v>
      </c>
      <c r="AC521" s="159">
        <f t="shared" si="223"/>
        <v>0</v>
      </c>
      <c r="AD521" s="159">
        <f t="shared" si="223"/>
        <v>0</v>
      </c>
      <c r="AE521" s="159">
        <f t="shared" si="223"/>
        <v>0</v>
      </c>
      <c r="AF521" s="159">
        <f t="shared" si="223"/>
        <v>0</v>
      </c>
      <c r="AG521" s="159">
        <f t="shared" si="223"/>
        <v>0</v>
      </c>
      <c r="AH521" s="159">
        <f t="shared" si="223"/>
        <v>0</v>
      </c>
      <c r="AI521" s="159">
        <f t="shared" si="223"/>
        <v>0</v>
      </c>
      <c r="AJ521" s="159">
        <f t="shared" si="223"/>
        <v>0</v>
      </c>
      <c r="AK521" s="159">
        <f t="shared" si="223"/>
        <v>0</v>
      </c>
      <c r="AL521" s="159">
        <f t="shared" si="223"/>
        <v>0</v>
      </c>
      <c r="AM521" s="159">
        <f t="shared" si="223"/>
        <v>0</v>
      </c>
      <c r="AN521" s="159">
        <f t="shared" si="223"/>
        <v>0</v>
      </c>
      <c r="AO521" s="159">
        <f t="shared" si="223"/>
        <v>0</v>
      </c>
      <c r="AP521" s="159">
        <f t="shared" si="223"/>
        <v>0</v>
      </c>
    </row>
    <row r="522" spans="1:42" x14ac:dyDescent="0.2">
      <c r="A522" s="4">
        <f>A521+1</f>
        <v>2</v>
      </c>
      <c r="B522" s="176">
        <f t="shared" si="222"/>
        <v>0</v>
      </c>
      <c r="C522" s="178">
        <f t="shared" ref="C522:AP522" si="224">LOOKUP(C510,$B$504:$AP$504,$B$505:$AP$505)*$B681/100</f>
        <v>0</v>
      </c>
      <c r="D522" s="159">
        <f t="shared" si="224"/>
        <v>0</v>
      </c>
      <c r="E522" s="159">
        <f t="shared" si="224"/>
        <v>0</v>
      </c>
      <c r="F522" s="159">
        <f t="shared" si="224"/>
        <v>0</v>
      </c>
      <c r="G522" s="159">
        <f t="shared" si="224"/>
        <v>0</v>
      </c>
      <c r="H522" s="159">
        <f t="shared" si="224"/>
        <v>0</v>
      </c>
      <c r="I522" s="159">
        <f t="shared" si="224"/>
        <v>0</v>
      </c>
      <c r="J522" s="159">
        <f t="shared" si="224"/>
        <v>0</v>
      </c>
      <c r="K522" s="159">
        <f t="shared" si="224"/>
        <v>0</v>
      </c>
      <c r="L522" s="159">
        <f t="shared" si="224"/>
        <v>0</v>
      </c>
      <c r="M522" s="159">
        <f t="shared" si="224"/>
        <v>0</v>
      </c>
      <c r="N522" s="159">
        <f t="shared" si="224"/>
        <v>0</v>
      </c>
      <c r="O522" s="159">
        <f t="shared" si="224"/>
        <v>0</v>
      </c>
      <c r="P522" s="159">
        <f t="shared" si="224"/>
        <v>0</v>
      </c>
      <c r="Q522" s="159">
        <f t="shared" si="224"/>
        <v>0</v>
      </c>
      <c r="R522" s="159">
        <f t="shared" si="224"/>
        <v>0</v>
      </c>
      <c r="S522" s="159">
        <f t="shared" si="224"/>
        <v>0</v>
      </c>
      <c r="T522" s="159">
        <f t="shared" si="224"/>
        <v>0</v>
      </c>
      <c r="U522" s="159">
        <f t="shared" si="224"/>
        <v>0</v>
      </c>
      <c r="V522" s="159">
        <f t="shared" si="224"/>
        <v>0</v>
      </c>
      <c r="W522" s="159">
        <f t="shared" si="224"/>
        <v>0</v>
      </c>
      <c r="X522" s="159">
        <f t="shared" si="224"/>
        <v>0</v>
      </c>
      <c r="Y522" s="159">
        <f t="shared" si="224"/>
        <v>0</v>
      </c>
      <c r="Z522" s="159">
        <f t="shared" si="224"/>
        <v>0</v>
      </c>
      <c r="AA522" s="159">
        <f t="shared" si="224"/>
        <v>0</v>
      </c>
      <c r="AB522" s="159">
        <f t="shared" si="224"/>
        <v>0</v>
      </c>
      <c r="AC522" s="159">
        <f t="shared" si="224"/>
        <v>0</v>
      </c>
      <c r="AD522" s="159">
        <f t="shared" si="224"/>
        <v>0</v>
      </c>
      <c r="AE522" s="159">
        <f t="shared" si="224"/>
        <v>0</v>
      </c>
      <c r="AF522" s="159">
        <f t="shared" si="224"/>
        <v>0</v>
      </c>
      <c r="AG522" s="159">
        <f t="shared" si="224"/>
        <v>0</v>
      </c>
      <c r="AH522" s="159">
        <f t="shared" si="224"/>
        <v>0</v>
      </c>
      <c r="AI522" s="159">
        <f t="shared" si="224"/>
        <v>0</v>
      </c>
      <c r="AJ522" s="159">
        <f t="shared" si="224"/>
        <v>0</v>
      </c>
      <c r="AK522" s="159">
        <f t="shared" si="224"/>
        <v>0</v>
      </c>
      <c r="AL522" s="159">
        <f t="shared" si="224"/>
        <v>0</v>
      </c>
      <c r="AM522" s="159">
        <f t="shared" si="224"/>
        <v>0</v>
      </c>
      <c r="AN522" s="159">
        <f t="shared" si="224"/>
        <v>0</v>
      </c>
      <c r="AO522" s="159">
        <f t="shared" si="224"/>
        <v>0</v>
      </c>
      <c r="AP522" s="159">
        <f t="shared" si="224"/>
        <v>0</v>
      </c>
    </row>
    <row r="523" spans="1:42" x14ac:dyDescent="0.2">
      <c r="A523" s="4">
        <f t="shared" ref="A523:A528" si="225">A522+1</f>
        <v>3</v>
      </c>
      <c r="B523" s="176">
        <f t="shared" si="222"/>
        <v>0</v>
      </c>
      <c r="C523" s="178">
        <f t="shared" ref="C523:AP523" si="226">LOOKUP(C511,$B$504:$AP$504,$B$505:$AP$505)*$B682/100</f>
        <v>0</v>
      </c>
      <c r="D523" s="159">
        <f t="shared" si="226"/>
        <v>0</v>
      </c>
      <c r="E523" s="159">
        <f t="shared" si="226"/>
        <v>0</v>
      </c>
      <c r="F523" s="159">
        <f t="shared" si="226"/>
        <v>0</v>
      </c>
      <c r="G523" s="159">
        <f t="shared" si="226"/>
        <v>0</v>
      </c>
      <c r="H523" s="159">
        <f t="shared" si="226"/>
        <v>0</v>
      </c>
      <c r="I523" s="159">
        <f t="shared" si="226"/>
        <v>0</v>
      </c>
      <c r="J523" s="159">
        <f t="shared" si="226"/>
        <v>0</v>
      </c>
      <c r="K523" s="159">
        <f t="shared" si="226"/>
        <v>0</v>
      </c>
      <c r="L523" s="159">
        <f t="shared" si="226"/>
        <v>0</v>
      </c>
      <c r="M523" s="159">
        <f t="shared" si="226"/>
        <v>0</v>
      </c>
      <c r="N523" s="159">
        <f t="shared" si="226"/>
        <v>0</v>
      </c>
      <c r="O523" s="159">
        <f t="shared" si="226"/>
        <v>0</v>
      </c>
      <c r="P523" s="159">
        <f t="shared" si="226"/>
        <v>0</v>
      </c>
      <c r="Q523" s="159">
        <f t="shared" si="226"/>
        <v>0</v>
      </c>
      <c r="R523" s="159">
        <f t="shared" si="226"/>
        <v>0</v>
      </c>
      <c r="S523" s="159">
        <f t="shared" si="226"/>
        <v>0</v>
      </c>
      <c r="T523" s="159">
        <f t="shared" si="226"/>
        <v>0</v>
      </c>
      <c r="U523" s="159">
        <f t="shared" si="226"/>
        <v>0</v>
      </c>
      <c r="V523" s="159">
        <f t="shared" si="226"/>
        <v>0</v>
      </c>
      <c r="W523" s="159">
        <f t="shared" si="226"/>
        <v>0</v>
      </c>
      <c r="X523" s="159">
        <f t="shared" si="226"/>
        <v>0</v>
      </c>
      <c r="Y523" s="159">
        <f t="shared" si="226"/>
        <v>0</v>
      </c>
      <c r="Z523" s="159">
        <f t="shared" si="226"/>
        <v>0</v>
      </c>
      <c r="AA523" s="159">
        <f t="shared" si="226"/>
        <v>0</v>
      </c>
      <c r="AB523" s="159">
        <f t="shared" si="226"/>
        <v>0</v>
      </c>
      <c r="AC523" s="159">
        <f t="shared" si="226"/>
        <v>0</v>
      </c>
      <c r="AD523" s="159">
        <f t="shared" si="226"/>
        <v>0</v>
      </c>
      <c r="AE523" s="159">
        <f t="shared" si="226"/>
        <v>0</v>
      </c>
      <c r="AF523" s="159">
        <f t="shared" si="226"/>
        <v>0</v>
      </c>
      <c r="AG523" s="159">
        <f t="shared" si="226"/>
        <v>0</v>
      </c>
      <c r="AH523" s="159">
        <f t="shared" si="226"/>
        <v>0</v>
      </c>
      <c r="AI523" s="159">
        <f t="shared" si="226"/>
        <v>0</v>
      </c>
      <c r="AJ523" s="159">
        <f t="shared" si="226"/>
        <v>0</v>
      </c>
      <c r="AK523" s="159">
        <f t="shared" si="226"/>
        <v>0</v>
      </c>
      <c r="AL523" s="159">
        <f t="shared" si="226"/>
        <v>0</v>
      </c>
      <c r="AM523" s="159">
        <f t="shared" si="226"/>
        <v>0</v>
      </c>
      <c r="AN523" s="159">
        <f t="shared" si="226"/>
        <v>0</v>
      </c>
      <c r="AO523" s="159">
        <f t="shared" si="226"/>
        <v>0</v>
      </c>
      <c r="AP523" s="159">
        <f t="shared" si="226"/>
        <v>0</v>
      </c>
    </row>
    <row r="524" spans="1:42" x14ac:dyDescent="0.2">
      <c r="A524" s="4">
        <f t="shared" si="225"/>
        <v>4</v>
      </c>
      <c r="B524" s="176">
        <f t="shared" si="222"/>
        <v>0</v>
      </c>
      <c r="C524" s="178">
        <f t="shared" ref="C524:AP524" si="227">LOOKUP(C512,$B$504:$AP$504,$B$505:$AP$505)*$B683/100</f>
        <v>0</v>
      </c>
      <c r="D524" s="159">
        <f t="shared" si="227"/>
        <v>0</v>
      </c>
      <c r="E524" s="159">
        <f t="shared" si="227"/>
        <v>0</v>
      </c>
      <c r="F524" s="159">
        <f t="shared" si="227"/>
        <v>0</v>
      </c>
      <c r="G524" s="159">
        <f t="shared" si="227"/>
        <v>0</v>
      </c>
      <c r="H524" s="159">
        <f t="shared" si="227"/>
        <v>0</v>
      </c>
      <c r="I524" s="159">
        <f t="shared" si="227"/>
        <v>0</v>
      </c>
      <c r="J524" s="159">
        <f t="shared" si="227"/>
        <v>0</v>
      </c>
      <c r="K524" s="159">
        <f t="shared" si="227"/>
        <v>0</v>
      </c>
      <c r="L524" s="159">
        <f t="shared" si="227"/>
        <v>0</v>
      </c>
      <c r="M524" s="159">
        <f t="shared" si="227"/>
        <v>0</v>
      </c>
      <c r="N524" s="159">
        <f t="shared" si="227"/>
        <v>0</v>
      </c>
      <c r="O524" s="159">
        <f t="shared" si="227"/>
        <v>0</v>
      </c>
      <c r="P524" s="159">
        <f t="shared" si="227"/>
        <v>0</v>
      </c>
      <c r="Q524" s="159">
        <f t="shared" si="227"/>
        <v>0</v>
      </c>
      <c r="R524" s="159">
        <f t="shared" si="227"/>
        <v>0</v>
      </c>
      <c r="S524" s="159">
        <f t="shared" si="227"/>
        <v>0</v>
      </c>
      <c r="T524" s="159">
        <f t="shared" si="227"/>
        <v>0</v>
      </c>
      <c r="U524" s="159">
        <f t="shared" si="227"/>
        <v>0</v>
      </c>
      <c r="V524" s="159">
        <f t="shared" si="227"/>
        <v>0</v>
      </c>
      <c r="W524" s="159">
        <f t="shared" si="227"/>
        <v>0</v>
      </c>
      <c r="X524" s="159">
        <f t="shared" si="227"/>
        <v>0</v>
      </c>
      <c r="Y524" s="159">
        <f t="shared" si="227"/>
        <v>0</v>
      </c>
      <c r="Z524" s="159">
        <f t="shared" si="227"/>
        <v>0</v>
      </c>
      <c r="AA524" s="159">
        <f t="shared" si="227"/>
        <v>0</v>
      </c>
      <c r="AB524" s="159">
        <f t="shared" si="227"/>
        <v>0</v>
      </c>
      <c r="AC524" s="159">
        <f t="shared" si="227"/>
        <v>0</v>
      </c>
      <c r="AD524" s="159">
        <f t="shared" si="227"/>
        <v>0</v>
      </c>
      <c r="AE524" s="159">
        <f t="shared" si="227"/>
        <v>0</v>
      </c>
      <c r="AF524" s="159">
        <f t="shared" si="227"/>
        <v>0</v>
      </c>
      <c r="AG524" s="159">
        <f t="shared" si="227"/>
        <v>0</v>
      </c>
      <c r="AH524" s="159">
        <f t="shared" si="227"/>
        <v>0</v>
      </c>
      <c r="AI524" s="159">
        <f t="shared" si="227"/>
        <v>0</v>
      </c>
      <c r="AJ524" s="159">
        <f t="shared" si="227"/>
        <v>0</v>
      </c>
      <c r="AK524" s="159">
        <f t="shared" si="227"/>
        <v>0</v>
      </c>
      <c r="AL524" s="159">
        <f t="shared" si="227"/>
        <v>0</v>
      </c>
      <c r="AM524" s="159">
        <f t="shared" si="227"/>
        <v>0</v>
      </c>
      <c r="AN524" s="159">
        <f t="shared" si="227"/>
        <v>0</v>
      </c>
      <c r="AO524" s="159">
        <f t="shared" si="227"/>
        <v>0</v>
      </c>
      <c r="AP524" s="159">
        <f t="shared" si="227"/>
        <v>0</v>
      </c>
    </row>
    <row r="525" spans="1:42" x14ac:dyDescent="0.2">
      <c r="A525" s="4">
        <f t="shared" si="225"/>
        <v>5</v>
      </c>
      <c r="B525" s="176">
        <f t="shared" si="222"/>
        <v>0</v>
      </c>
      <c r="C525" s="178">
        <f t="shared" ref="C525:AP525" si="228">LOOKUP(C513,$B$504:$AP$504,$B$505:$AP$505)*$B684/100</f>
        <v>0</v>
      </c>
      <c r="D525" s="159">
        <f t="shared" si="228"/>
        <v>0</v>
      </c>
      <c r="E525" s="159">
        <f t="shared" si="228"/>
        <v>0</v>
      </c>
      <c r="F525" s="159">
        <f t="shared" si="228"/>
        <v>0</v>
      </c>
      <c r="G525" s="159">
        <f t="shared" si="228"/>
        <v>0</v>
      </c>
      <c r="H525" s="159">
        <f t="shared" si="228"/>
        <v>0</v>
      </c>
      <c r="I525" s="159">
        <f t="shared" si="228"/>
        <v>0</v>
      </c>
      <c r="J525" s="159">
        <f t="shared" si="228"/>
        <v>0</v>
      </c>
      <c r="K525" s="159">
        <f t="shared" si="228"/>
        <v>0</v>
      </c>
      <c r="L525" s="159">
        <f t="shared" si="228"/>
        <v>0</v>
      </c>
      <c r="M525" s="159">
        <f t="shared" si="228"/>
        <v>0</v>
      </c>
      <c r="N525" s="159">
        <f t="shared" si="228"/>
        <v>0</v>
      </c>
      <c r="O525" s="159">
        <f t="shared" si="228"/>
        <v>0</v>
      </c>
      <c r="P525" s="159">
        <f t="shared" si="228"/>
        <v>0</v>
      </c>
      <c r="Q525" s="159">
        <f t="shared" si="228"/>
        <v>0</v>
      </c>
      <c r="R525" s="159">
        <f t="shared" si="228"/>
        <v>0</v>
      </c>
      <c r="S525" s="159">
        <f t="shared" si="228"/>
        <v>0</v>
      </c>
      <c r="T525" s="159">
        <f t="shared" si="228"/>
        <v>0</v>
      </c>
      <c r="U525" s="159">
        <f t="shared" si="228"/>
        <v>0</v>
      </c>
      <c r="V525" s="159">
        <f t="shared" si="228"/>
        <v>0</v>
      </c>
      <c r="W525" s="159">
        <f t="shared" si="228"/>
        <v>0</v>
      </c>
      <c r="X525" s="159">
        <f t="shared" si="228"/>
        <v>0</v>
      </c>
      <c r="Y525" s="159">
        <f t="shared" si="228"/>
        <v>0</v>
      </c>
      <c r="Z525" s="159">
        <f t="shared" si="228"/>
        <v>0</v>
      </c>
      <c r="AA525" s="159">
        <f t="shared" si="228"/>
        <v>0</v>
      </c>
      <c r="AB525" s="159">
        <f t="shared" si="228"/>
        <v>0</v>
      </c>
      <c r="AC525" s="159">
        <f t="shared" si="228"/>
        <v>0</v>
      </c>
      <c r="AD525" s="159">
        <f t="shared" si="228"/>
        <v>0</v>
      </c>
      <c r="AE525" s="159">
        <f t="shared" si="228"/>
        <v>0</v>
      </c>
      <c r="AF525" s="159">
        <f t="shared" si="228"/>
        <v>0</v>
      </c>
      <c r="AG525" s="159">
        <f t="shared" si="228"/>
        <v>0</v>
      </c>
      <c r="AH525" s="159">
        <f t="shared" si="228"/>
        <v>0</v>
      </c>
      <c r="AI525" s="159">
        <f t="shared" si="228"/>
        <v>0</v>
      </c>
      <c r="AJ525" s="159">
        <f t="shared" si="228"/>
        <v>0</v>
      </c>
      <c r="AK525" s="159">
        <f t="shared" si="228"/>
        <v>0</v>
      </c>
      <c r="AL525" s="159">
        <f t="shared" si="228"/>
        <v>0</v>
      </c>
      <c r="AM525" s="159">
        <f t="shared" si="228"/>
        <v>0</v>
      </c>
      <c r="AN525" s="159">
        <f t="shared" si="228"/>
        <v>0</v>
      </c>
      <c r="AO525" s="159">
        <f t="shared" si="228"/>
        <v>0</v>
      </c>
      <c r="AP525" s="159">
        <f t="shared" si="228"/>
        <v>0</v>
      </c>
    </row>
    <row r="526" spans="1:42" x14ac:dyDescent="0.2">
      <c r="A526" s="4">
        <f t="shared" si="225"/>
        <v>6</v>
      </c>
      <c r="B526" s="176">
        <f>SUM(C526:AP526)</f>
        <v>0</v>
      </c>
      <c r="C526" s="178">
        <f t="shared" ref="C526:AP526" si="229">LOOKUP(C514,$B$504:$AP$504,$B$505:$AP$505)*$B685/100</f>
        <v>0</v>
      </c>
      <c r="D526" s="159">
        <f t="shared" si="229"/>
        <v>0</v>
      </c>
      <c r="E526" s="159">
        <f t="shared" si="229"/>
        <v>0</v>
      </c>
      <c r="F526" s="159">
        <f t="shared" si="229"/>
        <v>0</v>
      </c>
      <c r="G526" s="159">
        <f t="shared" si="229"/>
        <v>0</v>
      </c>
      <c r="H526" s="159">
        <f t="shared" si="229"/>
        <v>0</v>
      </c>
      <c r="I526" s="159">
        <f t="shared" si="229"/>
        <v>0</v>
      </c>
      <c r="J526" s="159">
        <f t="shared" si="229"/>
        <v>0</v>
      </c>
      <c r="K526" s="159">
        <f t="shared" si="229"/>
        <v>0</v>
      </c>
      <c r="L526" s="159">
        <f t="shared" si="229"/>
        <v>0</v>
      </c>
      <c r="M526" s="159">
        <f t="shared" si="229"/>
        <v>0</v>
      </c>
      <c r="N526" s="159">
        <f t="shared" si="229"/>
        <v>0</v>
      </c>
      <c r="O526" s="159">
        <f t="shared" si="229"/>
        <v>0</v>
      </c>
      <c r="P526" s="159">
        <f t="shared" si="229"/>
        <v>0</v>
      </c>
      <c r="Q526" s="159">
        <f t="shared" si="229"/>
        <v>0</v>
      </c>
      <c r="R526" s="159">
        <f t="shared" si="229"/>
        <v>0</v>
      </c>
      <c r="S526" s="159">
        <f t="shared" si="229"/>
        <v>0</v>
      </c>
      <c r="T526" s="159">
        <f t="shared" si="229"/>
        <v>0</v>
      </c>
      <c r="U526" s="159">
        <f t="shared" si="229"/>
        <v>0</v>
      </c>
      <c r="V526" s="159">
        <f t="shared" si="229"/>
        <v>0</v>
      </c>
      <c r="W526" s="159">
        <f t="shared" si="229"/>
        <v>0</v>
      </c>
      <c r="X526" s="159">
        <f t="shared" si="229"/>
        <v>0</v>
      </c>
      <c r="Y526" s="159">
        <f t="shared" si="229"/>
        <v>0</v>
      </c>
      <c r="Z526" s="159">
        <f t="shared" si="229"/>
        <v>0</v>
      </c>
      <c r="AA526" s="159">
        <f t="shared" si="229"/>
        <v>0</v>
      </c>
      <c r="AB526" s="159">
        <f t="shared" si="229"/>
        <v>0</v>
      </c>
      <c r="AC526" s="159">
        <f t="shared" si="229"/>
        <v>0</v>
      </c>
      <c r="AD526" s="159">
        <f t="shared" si="229"/>
        <v>0</v>
      </c>
      <c r="AE526" s="159">
        <f t="shared" si="229"/>
        <v>0</v>
      </c>
      <c r="AF526" s="159">
        <f t="shared" si="229"/>
        <v>0</v>
      </c>
      <c r="AG526" s="159">
        <f t="shared" si="229"/>
        <v>0</v>
      </c>
      <c r="AH526" s="159">
        <f t="shared" si="229"/>
        <v>0</v>
      </c>
      <c r="AI526" s="159">
        <f t="shared" si="229"/>
        <v>0</v>
      </c>
      <c r="AJ526" s="159">
        <f t="shared" si="229"/>
        <v>0</v>
      </c>
      <c r="AK526" s="159">
        <f t="shared" si="229"/>
        <v>0</v>
      </c>
      <c r="AL526" s="159">
        <f t="shared" si="229"/>
        <v>0</v>
      </c>
      <c r="AM526" s="159">
        <f t="shared" si="229"/>
        <v>0</v>
      </c>
      <c r="AN526" s="159">
        <f t="shared" si="229"/>
        <v>0</v>
      </c>
      <c r="AO526" s="159">
        <f t="shared" si="229"/>
        <v>0</v>
      </c>
      <c r="AP526" s="159">
        <f t="shared" si="229"/>
        <v>0</v>
      </c>
    </row>
    <row r="527" spans="1:42" x14ac:dyDescent="0.2">
      <c r="A527" s="4">
        <f t="shared" si="225"/>
        <v>7</v>
      </c>
      <c r="B527" s="176">
        <f t="shared" si="222"/>
        <v>0</v>
      </c>
      <c r="C527" s="178">
        <f t="shared" ref="C527:AP527" si="230">LOOKUP(C515,$B$504:$AP$504,$B$505:$AP$505)*$B686/100</f>
        <v>0</v>
      </c>
      <c r="D527" s="159">
        <f t="shared" si="230"/>
        <v>0</v>
      </c>
      <c r="E527" s="159">
        <f t="shared" si="230"/>
        <v>0</v>
      </c>
      <c r="F527" s="159">
        <f t="shared" si="230"/>
        <v>0</v>
      </c>
      <c r="G527" s="159">
        <f t="shared" si="230"/>
        <v>0</v>
      </c>
      <c r="H527" s="159">
        <f t="shared" si="230"/>
        <v>0</v>
      </c>
      <c r="I527" s="159">
        <f t="shared" si="230"/>
        <v>0</v>
      </c>
      <c r="J527" s="159">
        <f t="shared" si="230"/>
        <v>0</v>
      </c>
      <c r="K527" s="159">
        <f t="shared" si="230"/>
        <v>0</v>
      </c>
      <c r="L527" s="159">
        <f t="shared" si="230"/>
        <v>0</v>
      </c>
      <c r="M527" s="159">
        <f t="shared" si="230"/>
        <v>0</v>
      </c>
      <c r="N527" s="159">
        <f t="shared" si="230"/>
        <v>0</v>
      </c>
      <c r="O527" s="159">
        <f t="shared" si="230"/>
        <v>0</v>
      </c>
      <c r="P527" s="159">
        <f t="shared" si="230"/>
        <v>0</v>
      </c>
      <c r="Q527" s="159">
        <f t="shared" si="230"/>
        <v>0</v>
      </c>
      <c r="R527" s="159">
        <f t="shared" si="230"/>
        <v>0</v>
      </c>
      <c r="S527" s="159">
        <f t="shared" si="230"/>
        <v>0</v>
      </c>
      <c r="T527" s="159">
        <f t="shared" si="230"/>
        <v>0</v>
      </c>
      <c r="U527" s="159">
        <f t="shared" si="230"/>
        <v>0</v>
      </c>
      <c r="V527" s="159">
        <f t="shared" si="230"/>
        <v>0</v>
      </c>
      <c r="W527" s="159">
        <f t="shared" si="230"/>
        <v>0</v>
      </c>
      <c r="X527" s="159">
        <f t="shared" si="230"/>
        <v>0</v>
      </c>
      <c r="Y527" s="159">
        <f t="shared" si="230"/>
        <v>0</v>
      </c>
      <c r="Z527" s="159">
        <f t="shared" si="230"/>
        <v>0</v>
      </c>
      <c r="AA527" s="159">
        <f t="shared" si="230"/>
        <v>0</v>
      </c>
      <c r="AB527" s="159">
        <f t="shared" si="230"/>
        <v>0</v>
      </c>
      <c r="AC527" s="159">
        <f t="shared" si="230"/>
        <v>0</v>
      </c>
      <c r="AD527" s="159">
        <f t="shared" si="230"/>
        <v>0</v>
      </c>
      <c r="AE527" s="159">
        <f t="shared" si="230"/>
        <v>0</v>
      </c>
      <c r="AF527" s="159">
        <f t="shared" si="230"/>
        <v>0</v>
      </c>
      <c r="AG527" s="159">
        <f t="shared" si="230"/>
        <v>0</v>
      </c>
      <c r="AH527" s="159">
        <f t="shared" si="230"/>
        <v>0</v>
      </c>
      <c r="AI527" s="159">
        <f t="shared" si="230"/>
        <v>0</v>
      </c>
      <c r="AJ527" s="159">
        <f t="shared" si="230"/>
        <v>0</v>
      </c>
      <c r="AK527" s="159">
        <f t="shared" si="230"/>
        <v>0</v>
      </c>
      <c r="AL527" s="159">
        <f t="shared" si="230"/>
        <v>0</v>
      </c>
      <c r="AM527" s="159">
        <f t="shared" si="230"/>
        <v>0</v>
      </c>
      <c r="AN527" s="159">
        <f t="shared" si="230"/>
        <v>0</v>
      </c>
      <c r="AO527" s="159">
        <f t="shared" si="230"/>
        <v>0</v>
      </c>
      <c r="AP527" s="159">
        <f t="shared" si="230"/>
        <v>0</v>
      </c>
    </row>
    <row r="528" spans="1:42" x14ac:dyDescent="0.2">
      <c r="A528" s="4">
        <f t="shared" si="225"/>
        <v>8</v>
      </c>
      <c r="B528" s="176">
        <f t="shared" si="222"/>
        <v>0</v>
      </c>
      <c r="C528" s="178">
        <f t="shared" ref="C528:AP528" si="231">LOOKUP(C516,$B$504:$AP$504,$B$505:$AP$505)*$B687/100</f>
        <v>0</v>
      </c>
      <c r="D528" s="159">
        <f t="shared" si="231"/>
        <v>0</v>
      </c>
      <c r="E528" s="159">
        <f t="shared" si="231"/>
        <v>0</v>
      </c>
      <c r="F528" s="159">
        <f t="shared" si="231"/>
        <v>0</v>
      </c>
      <c r="G528" s="159">
        <f t="shared" si="231"/>
        <v>0</v>
      </c>
      <c r="H528" s="159">
        <f t="shared" si="231"/>
        <v>0</v>
      </c>
      <c r="I528" s="159">
        <f t="shared" si="231"/>
        <v>0</v>
      </c>
      <c r="J528" s="159">
        <f t="shared" si="231"/>
        <v>0</v>
      </c>
      <c r="K528" s="159">
        <f t="shared" si="231"/>
        <v>0</v>
      </c>
      <c r="L528" s="159">
        <f t="shared" si="231"/>
        <v>0</v>
      </c>
      <c r="M528" s="159">
        <f t="shared" si="231"/>
        <v>0</v>
      </c>
      <c r="N528" s="159">
        <f t="shared" si="231"/>
        <v>0</v>
      </c>
      <c r="O528" s="159">
        <f t="shared" si="231"/>
        <v>0</v>
      </c>
      <c r="P528" s="159">
        <f t="shared" si="231"/>
        <v>0</v>
      </c>
      <c r="Q528" s="159">
        <f t="shared" si="231"/>
        <v>0</v>
      </c>
      <c r="R528" s="159">
        <f t="shared" si="231"/>
        <v>0</v>
      </c>
      <c r="S528" s="159">
        <f t="shared" si="231"/>
        <v>0</v>
      </c>
      <c r="T528" s="159">
        <f t="shared" si="231"/>
        <v>0</v>
      </c>
      <c r="U528" s="159">
        <f t="shared" si="231"/>
        <v>0</v>
      </c>
      <c r="V528" s="159">
        <f t="shared" si="231"/>
        <v>0</v>
      </c>
      <c r="W528" s="159">
        <f t="shared" si="231"/>
        <v>0</v>
      </c>
      <c r="X528" s="159">
        <f t="shared" si="231"/>
        <v>0</v>
      </c>
      <c r="Y528" s="159">
        <f t="shared" si="231"/>
        <v>0</v>
      </c>
      <c r="Z528" s="159">
        <f t="shared" si="231"/>
        <v>0</v>
      </c>
      <c r="AA528" s="159">
        <f t="shared" si="231"/>
        <v>0</v>
      </c>
      <c r="AB528" s="159">
        <f t="shared" si="231"/>
        <v>0</v>
      </c>
      <c r="AC528" s="159">
        <f t="shared" si="231"/>
        <v>0</v>
      </c>
      <c r="AD528" s="159">
        <f t="shared" si="231"/>
        <v>0</v>
      </c>
      <c r="AE528" s="159">
        <f t="shared" si="231"/>
        <v>0</v>
      </c>
      <c r="AF528" s="159">
        <f t="shared" si="231"/>
        <v>0</v>
      </c>
      <c r="AG528" s="159">
        <f t="shared" si="231"/>
        <v>0</v>
      </c>
      <c r="AH528" s="159">
        <f t="shared" si="231"/>
        <v>0</v>
      </c>
      <c r="AI528" s="159">
        <f t="shared" si="231"/>
        <v>0</v>
      </c>
      <c r="AJ528" s="159">
        <f t="shared" si="231"/>
        <v>0</v>
      </c>
      <c r="AK528" s="159">
        <f t="shared" si="231"/>
        <v>0</v>
      </c>
      <c r="AL528" s="159">
        <f t="shared" si="231"/>
        <v>0</v>
      </c>
      <c r="AM528" s="159">
        <f t="shared" si="231"/>
        <v>0</v>
      </c>
      <c r="AN528" s="159">
        <f t="shared" si="231"/>
        <v>0</v>
      </c>
      <c r="AO528" s="159">
        <f t="shared" si="231"/>
        <v>0</v>
      </c>
      <c r="AP528" s="159">
        <f t="shared" si="231"/>
        <v>0</v>
      </c>
    </row>
    <row r="529" spans="1:42" x14ac:dyDescent="0.2">
      <c r="A529" s="4">
        <f>A528+1</f>
        <v>9</v>
      </c>
      <c r="B529" s="176">
        <f t="shared" si="222"/>
        <v>0</v>
      </c>
      <c r="C529" s="178">
        <f t="shared" ref="C529:AP529" si="232">LOOKUP(C517,$B$504:$AP$504,$B$505:$AP$505)*$B688/100</f>
        <v>0</v>
      </c>
      <c r="D529" s="159">
        <f t="shared" si="232"/>
        <v>0</v>
      </c>
      <c r="E529" s="159">
        <f t="shared" si="232"/>
        <v>0</v>
      </c>
      <c r="F529" s="159">
        <f t="shared" si="232"/>
        <v>0</v>
      </c>
      <c r="G529" s="159">
        <f t="shared" si="232"/>
        <v>0</v>
      </c>
      <c r="H529" s="159">
        <f t="shared" si="232"/>
        <v>0</v>
      </c>
      <c r="I529" s="159">
        <f t="shared" si="232"/>
        <v>0</v>
      </c>
      <c r="J529" s="159">
        <f t="shared" si="232"/>
        <v>0</v>
      </c>
      <c r="K529" s="159">
        <f t="shared" si="232"/>
        <v>0</v>
      </c>
      <c r="L529" s="159">
        <f t="shared" si="232"/>
        <v>0</v>
      </c>
      <c r="M529" s="159">
        <f t="shared" si="232"/>
        <v>0</v>
      </c>
      <c r="N529" s="159">
        <f t="shared" si="232"/>
        <v>0</v>
      </c>
      <c r="O529" s="159">
        <f t="shared" si="232"/>
        <v>0</v>
      </c>
      <c r="P529" s="159">
        <f t="shared" si="232"/>
        <v>0</v>
      </c>
      <c r="Q529" s="159">
        <f t="shared" si="232"/>
        <v>0</v>
      </c>
      <c r="R529" s="159">
        <f t="shared" si="232"/>
        <v>0</v>
      </c>
      <c r="S529" s="159">
        <f t="shared" si="232"/>
        <v>0</v>
      </c>
      <c r="T529" s="159">
        <f t="shared" si="232"/>
        <v>0</v>
      </c>
      <c r="U529" s="159">
        <f t="shared" si="232"/>
        <v>0</v>
      </c>
      <c r="V529" s="159">
        <f t="shared" si="232"/>
        <v>0</v>
      </c>
      <c r="W529" s="159">
        <f t="shared" si="232"/>
        <v>0</v>
      </c>
      <c r="X529" s="159">
        <f t="shared" si="232"/>
        <v>0</v>
      </c>
      <c r="Y529" s="159">
        <f t="shared" si="232"/>
        <v>0</v>
      </c>
      <c r="Z529" s="159">
        <f t="shared" si="232"/>
        <v>0</v>
      </c>
      <c r="AA529" s="159">
        <f t="shared" si="232"/>
        <v>0</v>
      </c>
      <c r="AB529" s="159">
        <f t="shared" si="232"/>
        <v>0</v>
      </c>
      <c r="AC529" s="159">
        <f t="shared" si="232"/>
        <v>0</v>
      </c>
      <c r="AD529" s="159">
        <f t="shared" si="232"/>
        <v>0</v>
      </c>
      <c r="AE529" s="159">
        <f t="shared" si="232"/>
        <v>0</v>
      </c>
      <c r="AF529" s="159">
        <f t="shared" si="232"/>
        <v>0</v>
      </c>
      <c r="AG529" s="159">
        <f t="shared" si="232"/>
        <v>0</v>
      </c>
      <c r="AH529" s="159">
        <f t="shared" si="232"/>
        <v>0</v>
      </c>
      <c r="AI529" s="159">
        <f t="shared" si="232"/>
        <v>0</v>
      </c>
      <c r="AJ529" s="159">
        <f t="shared" si="232"/>
        <v>0</v>
      </c>
      <c r="AK529" s="159">
        <f t="shared" si="232"/>
        <v>0</v>
      </c>
      <c r="AL529" s="159">
        <f t="shared" si="232"/>
        <v>0</v>
      </c>
      <c r="AM529" s="159">
        <f t="shared" si="232"/>
        <v>0</v>
      </c>
      <c r="AN529" s="159">
        <f t="shared" si="232"/>
        <v>0</v>
      </c>
      <c r="AO529" s="159">
        <f t="shared" si="232"/>
        <v>0</v>
      </c>
      <c r="AP529" s="159">
        <f t="shared" si="232"/>
        <v>0</v>
      </c>
    </row>
    <row r="530" spans="1:42" x14ac:dyDescent="0.2">
      <c r="A530" s="4">
        <f t="shared" ref="A530" si="233">A529+1</f>
        <v>10</v>
      </c>
      <c r="B530" s="176">
        <f t="shared" si="222"/>
        <v>0</v>
      </c>
      <c r="C530" s="177">
        <f t="shared" ref="C530:AP530" si="234">LOOKUP(C518,$B$504:$AP$504,$B$505:$AP$505)*$B689/100</f>
        <v>0</v>
      </c>
      <c r="D530" s="160">
        <f t="shared" si="234"/>
        <v>0</v>
      </c>
      <c r="E530" s="160">
        <f t="shared" si="234"/>
        <v>0</v>
      </c>
      <c r="F530" s="160">
        <f t="shared" si="234"/>
        <v>0</v>
      </c>
      <c r="G530" s="160">
        <f t="shared" si="234"/>
        <v>0</v>
      </c>
      <c r="H530" s="160">
        <f t="shared" si="234"/>
        <v>0</v>
      </c>
      <c r="I530" s="160">
        <f t="shared" si="234"/>
        <v>0</v>
      </c>
      <c r="J530" s="160">
        <f t="shared" si="234"/>
        <v>0</v>
      </c>
      <c r="K530" s="160">
        <f t="shared" si="234"/>
        <v>0</v>
      </c>
      <c r="L530" s="160">
        <f t="shared" si="234"/>
        <v>0</v>
      </c>
      <c r="M530" s="160">
        <f t="shared" si="234"/>
        <v>0</v>
      </c>
      <c r="N530" s="160">
        <f t="shared" si="234"/>
        <v>0</v>
      </c>
      <c r="O530" s="160">
        <f t="shared" si="234"/>
        <v>0</v>
      </c>
      <c r="P530" s="160">
        <f t="shared" si="234"/>
        <v>0</v>
      </c>
      <c r="Q530" s="160">
        <f t="shared" si="234"/>
        <v>0</v>
      </c>
      <c r="R530" s="160">
        <f t="shared" si="234"/>
        <v>0</v>
      </c>
      <c r="S530" s="160">
        <f t="shared" si="234"/>
        <v>0</v>
      </c>
      <c r="T530" s="160">
        <f t="shared" si="234"/>
        <v>0</v>
      </c>
      <c r="U530" s="160">
        <f t="shared" si="234"/>
        <v>0</v>
      </c>
      <c r="V530" s="160">
        <f t="shared" si="234"/>
        <v>0</v>
      </c>
      <c r="W530" s="160">
        <f t="shared" si="234"/>
        <v>0</v>
      </c>
      <c r="X530" s="160">
        <f t="shared" si="234"/>
        <v>0</v>
      </c>
      <c r="Y530" s="160">
        <f t="shared" si="234"/>
        <v>0</v>
      </c>
      <c r="Z530" s="160">
        <f t="shared" si="234"/>
        <v>0</v>
      </c>
      <c r="AA530" s="160">
        <f t="shared" si="234"/>
        <v>0</v>
      </c>
      <c r="AB530" s="160">
        <f t="shared" si="234"/>
        <v>0</v>
      </c>
      <c r="AC530" s="160">
        <f t="shared" si="234"/>
        <v>0</v>
      </c>
      <c r="AD530" s="160">
        <f t="shared" si="234"/>
        <v>0</v>
      </c>
      <c r="AE530" s="160">
        <f t="shared" si="234"/>
        <v>0</v>
      </c>
      <c r="AF530" s="160">
        <f t="shared" si="234"/>
        <v>0</v>
      </c>
      <c r="AG530" s="160">
        <f t="shared" si="234"/>
        <v>0</v>
      </c>
      <c r="AH530" s="160">
        <f t="shared" si="234"/>
        <v>0</v>
      </c>
      <c r="AI530" s="160">
        <f t="shared" si="234"/>
        <v>0</v>
      </c>
      <c r="AJ530" s="160">
        <f t="shared" si="234"/>
        <v>0</v>
      </c>
      <c r="AK530" s="160">
        <f t="shared" si="234"/>
        <v>0</v>
      </c>
      <c r="AL530" s="160">
        <f t="shared" si="234"/>
        <v>0</v>
      </c>
      <c r="AM530" s="160">
        <f t="shared" si="234"/>
        <v>0</v>
      </c>
      <c r="AN530" s="160">
        <f t="shared" si="234"/>
        <v>0</v>
      </c>
      <c r="AO530" s="160">
        <f t="shared" si="234"/>
        <v>0</v>
      </c>
      <c r="AP530" s="160">
        <f t="shared" si="234"/>
        <v>0</v>
      </c>
    </row>
    <row r="531" spans="1:42" x14ac:dyDescent="0.2">
      <c r="A531" s="27" t="s">
        <v>13</v>
      </c>
      <c r="B531" s="15"/>
      <c r="C531" s="159">
        <f>SUM(C521:C530)</f>
        <v>0</v>
      </c>
      <c r="D531" s="159">
        <f t="shared" ref="D531:AP531" si="235">SUM(D521:D530)</f>
        <v>0</v>
      </c>
      <c r="E531" s="159">
        <f t="shared" si="235"/>
        <v>0</v>
      </c>
      <c r="F531" s="159">
        <f t="shared" si="235"/>
        <v>0</v>
      </c>
      <c r="G531" s="159">
        <f t="shared" si="235"/>
        <v>0</v>
      </c>
      <c r="H531" s="159">
        <f t="shared" si="235"/>
        <v>0</v>
      </c>
      <c r="I531" s="159">
        <f t="shared" si="235"/>
        <v>0</v>
      </c>
      <c r="J531" s="159">
        <f t="shared" si="235"/>
        <v>0</v>
      </c>
      <c r="K531" s="159">
        <f t="shared" si="235"/>
        <v>0</v>
      </c>
      <c r="L531" s="159">
        <f t="shared" si="235"/>
        <v>0</v>
      </c>
      <c r="M531" s="159">
        <f t="shared" si="235"/>
        <v>0</v>
      </c>
      <c r="N531" s="159">
        <f t="shared" si="235"/>
        <v>0</v>
      </c>
      <c r="O531" s="159">
        <f t="shared" si="235"/>
        <v>0</v>
      </c>
      <c r="P531" s="159">
        <f t="shared" si="235"/>
        <v>0</v>
      </c>
      <c r="Q531" s="159">
        <f t="shared" si="235"/>
        <v>2825947.6419475321</v>
      </c>
      <c r="R531" s="159">
        <f t="shared" si="235"/>
        <v>4521516.2271160511</v>
      </c>
      <c r="S531" s="159">
        <f t="shared" si="235"/>
        <v>2712909.736269631</v>
      </c>
      <c r="T531" s="159">
        <f t="shared" si="235"/>
        <v>1627745.8417617783</v>
      </c>
      <c r="U531" s="159">
        <f t="shared" si="235"/>
        <v>1627745.8417617783</v>
      </c>
      <c r="V531" s="159">
        <f t="shared" si="235"/>
        <v>813872.92088088917</v>
      </c>
      <c r="W531" s="159">
        <f t="shared" si="235"/>
        <v>0</v>
      </c>
      <c r="X531" s="159">
        <f t="shared" si="235"/>
        <v>0</v>
      </c>
      <c r="Y531" s="159">
        <f t="shared" si="235"/>
        <v>0</v>
      </c>
      <c r="Z531" s="159">
        <f t="shared" si="235"/>
        <v>0</v>
      </c>
      <c r="AA531" s="159">
        <f t="shared" si="235"/>
        <v>0</v>
      </c>
      <c r="AB531" s="159">
        <f t="shared" si="235"/>
        <v>0</v>
      </c>
      <c r="AC531" s="159">
        <f t="shared" si="235"/>
        <v>0</v>
      </c>
      <c r="AD531" s="159">
        <f t="shared" si="235"/>
        <v>0</v>
      </c>
      <c r="AE531" s="159">
        <f t="shared" si="235"/>
        <v>0</v>
      </c>
      <c r="AF531" s="159">
        <f t="shared" si="235"/>
        <v>0</v>
      </c>
      <c r="AG531" s="159">
        <f t="shared" si="235"/>
        <v>0</v>
      </c>
      <c r="AH531" s="159">
        <f t="shared" si="235"/>
        <v>0</v>
      </c>
      <c r="AI531" s="159">
        <f t="shared" si="235"/>
        <v>0</v>
      </c>
      <c r="AJ531" s="159">
        <f t="shared" si="235"/>
        <v>0</v>
      </c>
      <c r="AK531" s="159">
        <f t="shared" si="235"/>
        <v>0</v>
      </c>
      <c r="AL531" s="159">
        <f t="shared" si="235"/>
        <v>0</v>
      </c>
      <c r="AM531" s="159">
        <f t="shared" si="235"/>
        <v>0</v>
      </c>
      <c r="AN531" s="159">
        <f t="shared" si="235"/>
        <v>0</v>
      </c>
      <c r="AO531" s="159">
        <f t="shared" si="235"/>
        <v>0</v>
      </c>
      <c r="AP531" s="159">
        <f t="shared" si="235"/>
        <v>0</v>
      </c>
    </row>
    <row r="532" spans="1:42" x14ac:dyDescent="0.2">
      <c r="A532" s="27"/>
      <c r="B532" s="15"/>
      <c r="C532" s="159"/>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row>
    <row r="533" spans="1:42" x14ac:dyDescent="0.2">
      <c r="A533" s="18" t="s">
        <v>78</v>
      </c>
      <c r="C533" s="159"/>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row>
    <row r="534" spans="1:42" x14ac:dyDescent="0.2">
      <c r="A534" s="22" t="s">
        <v>62</v>
      </c>
      <c r="C534" s="159"/>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row>
    <row r="535" spans="1:42" x14ac:dyDescent="0.2">
      <c r="A535" s="4">
        <v>1</v>
      </c>
      <c r="C535" s="159">
        <f t="shared" ref="C535:AP535" si="236">C398</f>
        <v>0</v>
      </c>
      <c r="D535" s="159">
        <f t="shared" si="236"/>
        <v>0</v>
      </c>
      <c r="E535" s="159">
        <f t="shared" si="236"/>
        <v>0</v>
      </c>
      <c r="F535" s="159">
        <f t="shared" si="236"/>
        <v>0</v>
      </c>
      <c r="G535" s="159">
        <f t="shared" si="236"/>
        <v>0</v>
      </c>
      <c r="H535" s="159">
        <f t="shared" si="236"/>
        <v>0</v>
      </c>
      <c r="I535" s="159">
        <f t="shared" si="236"/>
        <v>0</v>
      </c>
      <c r="J535" s="159">
        <f t="shared" si="236"/>
        <v>0</v>
      </c>
      <c r="K535" s="159">
        <f t="shared" si="236"/>
        <v>0</v>
      </c>
      <c r="L535" s="159">
        <f t="shared" si="236"/>
        <v>0</v>
      </c>
      <c r="M535" s="159">
        <f t="shared" si="236"/>
        <v>0</v>
      </c>
      <c r="N535" s="159">
        <f t="shared" si="236"/>
        <v>0</v>
      </c>
      <c r="O535" s="159">
        <f t="shared" si="236"/>
        <v>0</v>
      </c>
      <c r="P535" s="159">
        <f t="shared" si="236"/>
        <v>0</v>
      </c>
      <c r="Q535" s="159">
        <f t="shared" si="236"/>
        <v>0</v>
      </c>
      <c r="R535" s="159">
        <f t="shared" si="236"/>
        <v>0</v>
      </c>
      <c r="S535" s="159">
        <f t="shared" si="236"/>
        <v>0</v>
      </c>
      <c r="T535" s="159">
        <f t="shared" si="236"/>
        <v>0</v>
      </c>
      <c r="U535" s="159">
        <f t="shared" si="236"/>
        <v>0</v>
      </c>
      <c r="V535" s="159">
        <f t="shared" si="236"/>
        <v>0</v>
      </c>
      <c r="W535" s="159">
        <f t="shared" si="236"/>
        <v>0</v>
      </c>
      <c r="X535" s="159">
        <f t="shared" si="236"/>
        <v>0</v>
      </c>
      <c r="Y535" s="159">
        <f t="shared" si="236"/>
        <v>0</v>
      </c>
      <c r="Z535" s="159">
        <f t="shared" si="236"/>
        <v>0</v>
      </c>
      <c r="AA535" s="159">
        <f t="shared" si="236"/>
        <v>0</v>
      </c>
      <c r="AB535" s="159">
        <f t="shared" si="236"/>
        <v>0</v>
      </c>
      <c r="AC535" s="159">
        <f t="shared" si="236"/>
        <v>0</v>
      </c>
      <c r="AD535" s="159">
        <f t="shared" si="236"/>
        <v>0</v>
      </c>
      <c r="AE535" s="159">
        <f t="shared" si="236"/>
        <v>0</v>
      </c>
      <c r="AF535" s="159">
        <f t="shared" si="236"/>
        <v>0</v>
      </c>
      <c r="AG535" s="159">
        <f t="shared" si="236"/>
        <v>0</v>
      </c>
      <c r="AH535" s="159">
        <f t="shared" si="236"/>
        <v>0</v>
      </c>
      <c r="AI535" s="159">
        <f t="shared" si="236"/>
        <v>0</v>
      </c>
      <c r="AJ535" s="159">
        <f t="shared" si="236"/>
        <v>0</v>
      </c>
      <c r="AK535" s="159">
        <f t="shared" si="236"/>
        <v>0</v>
      </c>
      <c r="AL535" s="159">
        <f t="shared" si="236"/>
        <v>0</v>
      </c>
      <c r="AM535" s="159">
        <f t="shared" si="236"/>
        <v>0</v>
      </c>
      <c r="AN535" s="159">
        <f t="shared" si="236"/>
        <v>0</v>
      </c>
      <c r="AO535" s="159">
        <f t="shared" si="236"/>
        <v>0</v>
      </c>
      <c r="AP535" s="159">
        <f t="shared" si="236"/>
        <v>0</v>
      </c>
    </row>
    <row r="536" spans="1:42" x14ac:dyDescent="0.2">
      <c r="A536" s="4">
        <f>A535+1</f>
        <v>2</v>
      </c>
      <c r="C536" s="159">
        <f t="shared" ref="C536:AP536" si="237">C399</f>
        <v>0</v>
      </c>
      <c r="D536" s="159">
        <f t="shared" si="237"/>
        <v>0</v>
      </c>
      <c r="E536" s="159">
        <f t="shared" si="237"/>
        <v>0</v>
      </c>
      <c r="F536" s="159">
        <f t="shared" si="237"/>
        <v>0</v>
      </c>
      <c r="G536" s="159">
        <f t="shared" si="237"/>
        <v>0</v>
      </c>
      <c r="H536" s="159">
        <f t="shared" si="237"/>
        <v>0</v>
      </c>
      <c r="I536" s="159">
        <f t="shared" si="237"/>
        <v>0</v>
      </c>
      <c r="J536" s="159">
        <f t="shared" si="237"/>
        <v>0</v>
      </c>
      <c r="K536" s="159">
        <f t="shared" si="237"/>
        <v>0</v>
      </c>
      <c r="L536" s="159">
        <f t="shared" si="237"/>
        <v>0</v>
      </c>
      <c r="M536" s="159">
        <f t="shared" si="237"/>
        <v>0</v>
      </c>
      <c r="N536" s="159">
        <f t="shared" si="237"/>
        <v>0</v>
      </c>
      <c r="O536" s="159">
        <f t="shared" si="237"/>
        <v>0</v>
      </c>
      <c r="P536" s="159">
        <f t="shared" si="237"/>
        <v>0</v>
      </c>
      <c r="Q536" s="159">
        <f t="shared" si="237"/>
        <v>0</v>
      </c>
      <c r="R536" s="159">
        <f t="shared" si="237"/>
        <v>0</v>
      </c>
      <c r="S536" s="159">
        <f t="shared" si="237"/>
        <v>0</v>
      </c>
      <c r="T536" s="159">
        <f t="shared" si="237"/>
        <v>0</v>
      </c>
      <c r="U536" s="159">
        <f t="shared" si="237"/>
        <v>0</v>
      </c>
      <c r="V536" s="159">
        <f t="shared" si="237"/>
        <v>0</v>
      </c>
      <c r="W536" s="159">
        <f t="shared" si="237"/>
        <v>0</v>
      </c>
      <c r="X536" s="159">
        <f t="shared" si="237"/>
        <v>0</v>
      </c>
      <c r="Y536" s="159">
        <f t="shared" si="237"/>
        <v>0</v>
      </c>
      <c r="Z536" s="159">
        <f t="shared" si="237"/>
        <v>0</v>
      </c>
      <c r="AA536" s="159">
        <f t="shared" si="237"/>
        <v>0</v>
      </c>
      <c r="AB536" s="159">
        <f t="shared" si="237"/>
        <v>0</v>
      </c>
      <c r="AC536" s="159">
        <f t="shared" si="237"/>
        <v>0</v>
      </c>
      <c r="AD536" s="159">
        <f t="shared" si="237"/>
        <v>0</v>
      </c>
      <c r="AE536" s="159">
        <f t="shared" si="237"/>
        <v>0</v>
      </c>
      <c r="AF536" s="159">
        <f t="shared" si="237"/>
        <v>0</v>
      </c>
      <c r="AG536" s="159">
        <f t="shared" si="237"/>
        <v>0</v>
      </c>
      <c r="AH536" s="159">
        <f t="shared" si="237"/>
        <v>0</v>
      </c>
      <c r="AI536" s="159">
        <f t="shared" si="237"/>
        <v>0</v>
      </c>
      <c r="AJ536" s="159">
        <f t="shared" si="237"/>
        <v>0</v>
      </c>
      <c r="AK536" s="159">
        <f t="shared" si="237"/>
        <v>0</v>
      </c>
      <c r="AL536" s="159">
        <f t="shared" si="237"/>
        <v>0</v>
      </c>
      <c r="AM536" s="159">
        <f t="shared" si="237"/>
        <v>0</v>
      </c>
      <c r="AN536" s="159">
        <f t="shared" si="237"/>
        <v>0</v>
      </c>
      <c r="AO536" s="159">
        <f t="shared" si="237"/>
        <v>0</v>
      </c>
      <c r="AP536" s="159">
        <f t="shared" si="237"/>
        <v>0</v>
      </c>
    </row>
    <row r="537" spans="1:42" x14ac:dyDescent="0.2">
      <c r="A537" s="4">
        <f t="shared" ref="A537:A542" si="238">A536+1</f>
        <v>3</v>
      </c>
      <c r="C537" s="159">
        <f t="shared" ref="C537:AP537" si="239">C400</f>
        <v>0</v>
      </c>
      <c r="D537" s="159">
        <f t="shared" si="239"/>
        <v>0</v>
      </c>
      <c r="E537" s="159">
        <f t="shared" si="239"/>
        <v>0</v>
      </c>
      <c r="F537" s="159">
        <f t="shared" si="239"/>
        <v>0</v>
      </c>
      <c r="G537" s="159">
        <f t="shared" si="239"/>
        <v>0</v>
      </c>
      <c r="H537" s="159">
        <f t="shared" si="239"/>
        <v>0</v>
      </c>
      <c r="I537" s="159">
        <f t="shared" si="239"/>
        <v>0</v>
      </c>
      <c r="J537" s="159">
        <f t="shared" si="239"/>
        <v>0</v>
      </c>
      <c r="K537" s="159">
        <f t="shared" si="239"/>
        <v>0</v>
      </c>
      <c r="L537" s="159">
        <f t="shared" si="239"/>
        <v>0</v>
      </c>
      <c r="M537" s="159">
        <f t="shared" si="239"/>
        <v>0</v>
      </c>
      <c r="N537" s="159">
        <f t="shared" si="239"/>
        <v>0</v>
      </c>
      <c r="O537" s="159">
        <f t="shared" si="239"/>
        <v>0</v>
      </c>
      <c r="P537" s="159">
        <f t="shared" si="239"/>
        <v>0</v>
      </c>
      <c r="Q537" s="159">
        <f t="shared" si="239"/>
        <v>0</v>
      </c>
      <c r="R537" s="159">
        <f t="shared" si="239"/>
        <v>0</v>
      </c>
      <c r="S537" s="159">
        <f t="shared" si="239"/>
        <v>0</v>
      </c>
      <c r="T537" s="159">
        <f t="shared" si="239"/>
        <v>0</v>
      </c>
      <c r="U537" s="159">
        <f t="shared" si="239"/>
        <v>0</v>
      </c>
      <c r="V537" s="159">
        <f t="shared" si="239"/>
        <v>0</v>
      </c>
      <c r="W537" s="159">
        <f t="shared" si="239"/>
        <v>0</v>
      </c>
      <c r="X537" s="159">
        <f t="shared" si="239"/>
        <v>0</v>
      </c>
      <c r="Y537" s="159">
        <f t="shared" si="239"/>
        <v>0</v>
      </c>
      <c r="Z537" s="159">
        <f t="shared" si="239"/>
        <v>0</v>
      </c>
      <c r="AA537" s="159">
        <f t="shared" si="239"/>
        <v>0</v>
      </c>
      <c r="AB537" s="159">
        <f t="shared" si="239"/>
        <v>0</v>
      </c>
      <c r="AC537" s="159">
        <f t="shared" si="239"/>
        <v>0</v>
      </c>
      <c r="AD537" s="159">
        <f t="shared" si="239"/>
        <v>0</v>
      </c>
      <c r="AE537" s="159">
        <f t="shared" si="239"/>
        <v>0</v>
      </c>
      <c r="AF537" s="159">
        <f t="shared" si="239"/>
        <v>0</v>
      </c>
      <c r="AG537" s="159">
        <f t="shared" si="239"/>
        <v>0</v>
      </c>
      <c r="AH537" s="159">
        <f t="shared" si="239"/>
        <v>0</v>
      </c>
      <c r="AI537" s="159">
        <f t="shared" si="239"/>
        <v>0</v>
      </c>
      <c r="AJ537" s="159">
        <f t="shared" si="239"/>
        <v>0</v>
      </c>
      <c r="AK537" s="159">
        <f t="shared" si="239"/>
        <v>0</v>
      </c>
      <c r="AL537" s="159">
        <f t="shared" si="239"/>
        <v>0</v>
      </c>
      <c r="AM537" s="159">
        <f t="shared" si="239"/>
        <v>0</v>
      </c>
      <c r="AN537" s="159">
        <f t="shared" si="239"/>
        <v>0</v>
      </c>
      <c r="AO537" s="159">
        <f t="shared" si="239"/>
        <v>0</v>
      </c>
      <c r="AP537" s="159">
        <f t="shared" si="239"/>
        <v>0</v>
      </c>
    </row>
    <row r="538" spans="1:42" x14ac:dyDescent="0.2">
      <c r="A538" s="4">
        <f t="shared" si="238"/>
        <v>4</v>
      </c>
      <c r="C538" s="159">
        <f t="shared" ref="C538:AP538" si="240">C401</f>
        <v>0</v>
      </c>
      <c r="D538" s="159">
        <f t="shared" si="240"/>
        <v>0</v>
      </c>
      <c r="E538" s="159">
        <f t="shared" si="240"/>
        <v>0</v>
      </c>
      <c r="F538" s="159">
        <f t="shared" si="240"/>
        <v>0</v>
      </c>
      <c r="G538" s="159">
        <f t="shared" si="240"/>
        <v>0</v>
      </c>
      <c r="H538" s="159">
        <f t="shared" si="240"/>
        <v>0</v>
      </c>
      <c r="I538" s="159">
        <f t="shared" si="240"/>
        <v>0</v>
      </c>
      <c r="J538" s="159">
        <f t="shared" si="240"/>
        <v>0</v>
      </c>
      <c r="K538" s="159">
        <f t="shared" si="240"/>
        <v>0</v>
      </c>
      <c r="L538" s="159">
        <f t="shared" si="240"/>
        <v>0</v>
      </c>
      <c r="M538" s="159">
        <f t="shared" si="240"/>
        <v>0</v>
      </c>
      <c r="N538" s="159">
        <f t="shared" si="240"/>
        <v>0</v>
      </c>
      <c r="O538" s="159">
        <f t="shared" si="240"/>
        <v>0</v>
      </c>
      <c r="P538" s="159">
        <f t="shared" si="240"/>
        <v>0</v>
      </c>
      <c r="Q538" s="159">
        <f t="shared" si="240"/>
        <v>0</v>
      </c>
      <c r="R538" s="159">
        <f t="shared" si="240"/>
        <v>0</v>
      </c>
      <c r="S538" s="159">
        <f t="shared" si="240"/>
        <v>0</v>
      </c>
      <c r="T538" s="159">
        <f t="shared" si="240"/>
        <v>0</v>
      </c>
      <c r="U538" s="159">
        <f t="shared" si="240"/>
        <v>0</v>
      </c>
      <c r="V538" s="159">
        <f t="shared" si="240"/>
        <v>0</v>
      </c>
      <c r="W538" s="159">
        <f t="shared" si="240"/>
        <v>0</v>
      </c>
      <c r="X538" s="159">
        <f t="shared" si="240"/>
        <v>0</v>
      </c>
      <c r="Y538" s="159">
        <f t="shared" si="240"/>
        <v>0</v>
      </c>
      <c r="Z538" s="159">
        <f t="shared" si="240"/>
        <v>0</v>
      </c>
      <c r="AA538" s="159">
        <f t="shared" si="240"/>
        <v>0</v>
      </c>
      <c r="AB538" s="159">
        <f t="shared" si="240"/>
        <v>0</v>
      </c>
      <c r="AC538" s="159">
        <f t="shared" si="240"/>
        <v>0</v>
      </c>
      <c r="AD538" s="159">
        <f t="shared" si="240"/>
        <v>0</v>
      </c>
      <c r="AE538" s="159">
        <f t="shared" si="240"/>
        <v>0</v>
      </c>
      <c r="AF538" s="159">
        <f t="shared" si="240"/>
        <v>0</v>
      </c>
      <c r="AG538" s="159">
        <f t="shared" si="240"/>
        <v>0</v>
      </c>
      <c r="AH538" s="159">
        <f t="shared" si="240"/>
        <v>0</v>
      </c>
      <c r="AI538" s="159">
        <f t="shared" si="240"/>
        <v>0</v>
      </c>
      <c r="AJ538" s="159">
        <f t="shared" si="240"/>
        <v>0</v>
      </c>
      <c r="AK538" s="159">
        <f t="shared" si="240"/>
        <v>0</v>
      </c>
      <c r="AL538" s="159">
        <f t="shared" si="240"/>
        <v>0</v>
      </c>
      <c r="AM538" s="159">
        <f t="shared" si="240"/>
        <v>0</v>
      </c>
      <c r="AN538" s="159">
        <f t="shared" si="240"/>
        <v>0</v>
      </c>
      <c r="AO538" s="159">
        <f t="shared" si="240"/>
        <v>0</v>
      </c>
      <c r="AP538" s="159">
        <f t="shared" si="240"/>
        <v>0</v>
      </c>
    </row>
    <row r="539" spans="1:42" x14ac:dyDescent="0.2">
      <c r="A539" s="4">
        <f t="shared" si="238"/>
        <v>5</v>
      </c>
      <c r="C539" s="159">
        <f t="shared" ref="C539:AP539" si="241">C402</f>
        <v>0</v>
      </c>
      <c r="D539" s="159">
        <f t="shared" si="241"/>
        <v>0</v>
      </c>
      <c r="E539" s="159">
        <f t="shared" si="241"/>
        <v>0</v>
      </c>
      <c r="F539" s="159">
        <f t="shared" si="241"/>
        <v>0</v>
      </c>
      <c r="G539" s="159">
        <f t="shared" si="241"/>
        <v>0</v>
      </c>
      <c r="H539" s="159">
        <f t="shared" si="241"/>
        <v>0</v>
      </c>
      <c r="I539" s="159">
        <f t="shared" si="241"/>
        <v>0</v>
      </c>
      <c r="J539" s="159">
        <f t="shared" si="241"/>
        <v>0</v>
      </c>
      <c r="K539" s="159">
        <f t="shared" si="241"/>
        <v>0</v>
      </c>
      <c r="L539" s="159">
        <f t="shared" si="241"/>
        <v>0</v>
      </c>
      <c r="M539" s="159">
        <f t="shared" si="241"/>
        <v>0</v>
      </c>
      <c r="N539" s="159">
        <f t="shared" si="241"/>
        <v>0</v>
      </c>
      <c r="O539" s="159">
        <f t="shared" si="241"/>
        <v>0</v>
      </c>
      <c r="P539" s="159">
        <f t="shared" si="241"/>
        <v>0</v>
      </c>
      <c r="Q539" s="159">
        <f t="shared" si="241"/>
        <v>0</v>
      </c>
      <c r="R539" s="159">
        <f t="shared" si="241"/>
        <v>0</v>
      </c>
      <c r="S539" s="159">
        <f t="shared" si="241"/>
        <v>0</v>
      </c>
      <c r="T539" s="159">
        <f t="shared" si="241"/>
        <v>0</v>
      </c>
      <c r="U539" s="159">
        <f t="shared" si="241"/>
        <v>0</v>
      </c>
      <c r="V539" s="159">
        <f t="shared" si="241"/>
        <v>0</v>
      </c>
      <c r="W539" s="159">
        <f t="shared" si="241"/>
        <v>0</v>
      </c>
      <c r="X539" s="159">
        <f t="shared" si="241"/>
        <v>0</v>
      </c>
      <c r="Y539" s="159">
        <f t="shared" si="241"/>
        <v>0</v>
      </c>
      <c r="Z539" s="159">
        <f t="shared" si="241"/>
        <v>0</v>
      </c>
      <c r="AA539" s="159">
        <f t="shared" si="241"/>
        <v>0</v>
      </c>
      <c r="AB539" s="159">
        <f t="shared" si="241"/>
        <v>0</v>
      </c>
      <c r="AC539" s="159">
        <f t="shared" si="241"/>
        <v>0</v>
      </c>
      <c r="AD539" s="159">
        <f t="shared" si="241"/>
        <v>0</v>
      </c>
      <c r="AE539" s="159">
        <f t="shared" si="241"/>
        <v>0</v>
      </c>
      <c r="AF539" s="159">
        <f t="shared" si="241"/>
        <v>0</v>
      </c>
      <c r="AG539" s="159">
        <f t="shared" si="241"/>
        <v>0</v>
      </c>
      <c r="AH539" s="159">
        <f t="shared" si="241"/>
        <v>0</v>
      </c>
      <c r="AI539" s="159">
        <f t="shared" si="241"/>
        <v>0</v>
      </c>
      <c r="AJ539" s="159">
        <f t="shared" si="241"/>
        <v>0</v>
      </c>
      <c r="AK539" s="159">
        <f t="shared" si="241"/>
        <v>0</v>
      </c>
      <c r="AL539" s="159">
        <f t="shared" si="241"/>
        <v>0</v>
      </c>
      <c r="AM539" s="159">
        <f t="shared" si="241"/>
        <v>0</v>
      </c>
      <c r="AN539" s="159">
        <f t="shared" si="241"/>
        <v>0</v>
      </c>
      <c r="AO539" s="159">
        <f t="shared" si="241"/>
        <v>0</v>
      </c>
      <c r="AP539" s="159">
        <f t="shared" si="241"/>
        <v>0</v>
      </c>
    </row>
    <row r="540" spans="1:42" x14ac:dyDescent="0.2">
      <c r="A540" s="4">
        <f t="shared" si="238"/>
        <v>6</v>
      </c>
      <c r="C540" s="159">
        <f t="shared" ref="C540:AP540" si="242">C403</f>
        <v>0</v>
      </c>
      <c r="D540" s="159">
        <f t="shared" si="242"/>
        <v>0</v>
      </c>
      <c r="E540" s="159">
        <f t="shared" si="242"/>
        <v>0</v>
      </c>
      <c r="F540" s="159">
        <f t="shared" si="242"/>
        <v>0</v>
      </c>
      <c r="G540" s="159">
        <f t="shared" si="242"/>
        <v>0</v>
      </c>
      <c r="H540" s="159">
        <f t="shared" si="242"/>
        <v>0</v>
      </c>
      <c r="I540" s="159">
        <f t="shared" si="242"/>
        <v>0</v>
      </c>
      <c r="J540" s="159">
        <f t="shared" si="242"/>
        <v>0</v>
      </c>
      <c r="K540" s="159">
        <f t="shared" si="242"/>
        <v>0</v>
      </c>
      <c r="L540" s="159">
        <f t="shared" si="242"/>
        <v>0</v>
      </c>
      <c r="M540" s="159">
        <f t="shared" si="242"/>
        <v>0</v>
      </c>
      <c r="N540" s="159">
        <f t="shared" si="242"/>
        <v>0</v>
      </c>
      <c r="O540" s="159">
        <f t="shared" si="242"/>
        <v>0</v>
      </c>
      <c r="P540" s="159">
        <f t="shared" si="242"/>
        <v>0</v>
      </c>
      <c r="Q540" s="159">
        <f t="shared" si="242"/>
        <v>0</v>
      </c>
      <c r="R540" s="159">
        <f t="shared" si="242"/>
        <v>0</v>
      </c>
      <c r="S540" s="159">
        <f t="shared" si="242"/>
        <v>0</v>
      </c>
      <c r="T540" s="159">
        <f t="shared" si="242"/>
        <v>0</v>
      </c>
      <c r="U540" s="159">
        <f t="shared" si="242"/>
        <v>0</v>
      </c>
      <c r="V540" s="159">
        <f t="shared" si="242"/>
        <v>0</v>
      </c>
      <c r="W540" s="159">
        <f t="shared" si="242"/>
        <v>0</v>
      </c>
      <c r="X540" s="159">
        <f t="shared" si="242"/>
        <v>0</v>
      </c>
      <c r="Y540" s="159">
        <f t="shared" si="242"/>
        <v>0</v>
      </c>
      <c r="Z540" s="159">
        <f t="shared" si="242"/>
        <v>0</v>
      </c>
      <c r="AA540" s="159">
        <f t="shared" si="242"/>
        <v>0</v>
      </c>
      <c r="AB540" s="159">
        <f t="shared" si="242"/>
        <v>0</v>
      </c>
      <c r="AC540" s="159">
        <f t="shared" si="242"/>
        <v>0</v>
      </c>
      <c r="AD540" s="159">
        <f t="shared" si="242"/>
        <v>0</v>
      </c>
      <c r="AE540" s="159">
        <f t="shared" si="242"/>
        <v>0</v>
      </c>
      <c r="AF540" s="159">
        <f t="shared" si="242"/>
        <v>0</v>
      </c>
      <c r="AG540" s="159">
        <f t="shared" si="242"/>
        <v>0</v>
      </c>
      <c r="AH540" s="159">
        <f t="shared" si="242"/>
        <v>0</v>
      </c>
      <c r="AI540" s="159">
        <f t="shared" si="242"/>
        <v>0</v>
      </c>
      <c r="AJ540" s="159">
        <f t="shared" si="242"/>
        <v>0</v>
      </c>
      <c r="AK540" s="159">
        <f t="shared" si="242"/>
        <v>0</v>
      </c>
      <c r="AL540" s="159">
        <f t="shared" si="242"/>
        <v>0</v>
      </c>
      <c r="AM540" s="159">
        <f t="shared" si="242"/>
        <v>0</v>
      </c>
      <c r="AN540" s="159">
        <f t="shared" si="242"/>
        <v>0</v>
      </c>
      <c r="AO540" s="159">
        <f t="shared" si="242"/>
        <v>0</v>
      </c>
      <c r="AP540" s="159">
        <f t="shared" si="242"/>
        <v>0</v>
      </c>
    </row>
    <row r="541" spans="1:42" x14ac:dyDescent="0.2">
      <c r="A541" s="4">
        <f t="shared" si="238"/>
        <v>7</v>
      </c>
      <c r="C541" s="159">
        <f t="shared" ref="C541:AP541" si="243">C404</f>
        <v>0</v>
      </c>
      <c r="D541" s="159">
        <f t="shared" si="243"/>
        <v>0</v>
      </c>
      <c r="E541" s="159">
        <f t="shared" si="243"/>
        <v>0</v>
      </c>
      <c r="F541" s="159">
        <f t="shared" si="243"/>
        <v>0</v>
      </c>
      <c r="G541" s="159">
        <f t="shared" si="243"/>
        <v>0</v>
      </c>
      <c r="H541" s="159">
        <f t="shared" si="243"/>
        <v>0</v>
      </c>
      <c r="I541" s="159">
        <f t="shared" si="243"/>
        <v>0</v>
      </c>
      <c r="J541" s="159">
        <f t="shared" si="243"/>
        <v>0</v>
      </c>
      <c r="K541" s="159">
        <f t="shared" si="243"/>
        <v>0</v>
      </c>
      <c r="L541" s="159">
        <f t="shared" si="243"/>
        <v>0</v>
      </c>
      <c r="M541" s="159">
        <f t="shared" si="243"/>
        <v>0</v>
      </c>
      <c r="N541" s="159">
        <f t="shared" si="243"/>
        <v>0</v>
      </c>
      <c r="O541" s="159">
        <f t="shared" si="243"/>
        <v>0</v>
      </c>
      <c r="P541" s="159">
        <f t="shared" si="243"/>
        <v>0</v>
      </c>
      <c r="Q541" s="159">
        <f t="shared" si="243"/>
        <v>0</v>
      </c>
      <c r="R541" s="159">
        <f t="shared" si="243"/>
        <v>0</v>
      </c>
      <c r="S541" s="159">
        <f t="shared" si="243"/>
        <v>0</v>
      </c>
      <c r="T541" s="159">
        <f t="shared" si="243"/>
        <v>0</v>
      </c>
      <c r="U541" s="159">
        <f t="shared" si="243"/>
        <v>0</v>
      </c>
      <c r="V541" s="159">
        <f t="shared" si="243"/>
        <v>0</v>
      </c>
      <c r="W541" s="159">
        <f t="shared" si="243"/>
        <v>0</v>
      </c>
      <c r="X541" s="159">
        <f t="shared" si="243"/>
        <v>0</v>
      </c>
      <c r="Y541" s="159">
        <f t="shared" si="243"/>
        <v>0</v>
      </c>
      <c r="Z541" s="159">
        <f t="shared" si="243"/>
        <v>0</v>
      </c>
      <c r="AA541" s="159">
        <f t="shared" si="243"/>
        <v>0</v>
      </c>
      <c r="AB541" s="159">
        <f t="shared" si="243"/>
        <v>0</v>
      </c>
      <c r="AC541" s="159">
        <f t="shared" si="243"/>
        <v>0</v>
      </c>
      <c r="AD541" s="159">
        <f t="shared" si="243"/>
        <v>0</v>
      </c>
      <c r="AE541" s="159">
        <f t="shared" si="243"/>
        <v>0</v>
      </c>
      <c r="AF541" s="159">
        <f t="shared" si="243"/>
        <v>0</v>
      </c>
      <c r="AG541" s="159">
        <f t="shared" si="243"/>
        <v>0</v>
      </c>
      <c r="AH541" s="159">
        <f t="shared" si="243"/>
        <v>0</v>
      </c>
      <c r="AI541" s="159">
        <f t="shared" si="243"/>
        <v>0</v>
      </c>
      <c r="AJ541" s="159">
        <f t="shared" si="243"/>
        <v>0</v>
      </c>
      <c r="AK541" s="159">
        <f t="shared" si="243"/>
        <v>0</v>
      </c>
      <c r="AL541" s="159">
        <f t="shared" si="243"/>
        <v>0</v>
      </c>
      <c r="AM541" s="159">
        <f t="shared" si="243"/>
        <v>0</v>
      </c>
      <c r="AN541" s="159">
        <f t="shared" si="243"/>
        <v>0</v>
      </c>
      <c r="AO541" s="159">
        <f t="shared" si="243"/>
        <v>0</v>
      </c>
      <c r="AP541" s="159">
        <f t="shared" si="243"/>
        <v>0</v>
      </c>
    </row>
    <row r="542" spans="1:42" x14ac:dyDescent="0.2">
      <c r="A542" s="4">
        <f t="shared" si="238"/>
        <v>8</v>
      </c>
      <c r="C542" s="159">
        <f t="shared" ref="C542:AP542" si="244">C405</f>
        <v>0</v>
      </c>
      <c r="D542" s="159">
        <f t="shared" si="244"/>
        <v>0</v>
      </c>
      <c r="E542" s="159">
        <f t="shared" si="244"/>
        <v>0</v>
      </c>
      <c r="F542" s="159">
        <f t="shared" si="244"/>
        <v>0</v>
      </c>
      <c r="G542" s="159">
        <f t="shared" si="244"/>
        <v>0</v>
      </c>
      <c r="H542" s="159">
        <f t="shared" si="244"/>
        <v>0</v>
      </c>
      <c r="I542" s="159">
        <f t="shared" si="244"/>
        <v>0</v>
      </c>
      <c r="J542" s="159">
        <f t="shared" si="244"/>
        <v>0</v>
      </c>
      <c r="K542" s="159">
        <f t="shared" si="244"/>
        <v>0</v>
      </c>
      <c r="L542" s="159">
        <f t="shared" si="244"/>
        <v>0</v>
      </c>
      <c r="M542" s="159">
        <f t="shared" si="244"/>
        <v>0</v>
      </c>
      <c r="N542" s="159">
        <f t="shared" si="244"/>
        <v>0</v>
      </c>
      <c r="O542" s="159">
        <f t="shared" si="244"/>
        <v>0</v>
      </c>
      <c r="P542" s="159">
        <f t="shared" si="244"/>
        <v>0</v>
      </c>
      <c r="Q542" s="159">
        <f t="shared" si="244"/>
        <v>0</v>
      </c>
      <c r="R542" s="159">
        <f t="shared" si="244"/>
        <v>0</v>
      </c>
      <c r="S542" s="159">
        <f t="shared" si="244"/>
        <v>0</v>
      </c>
      <c r="T542" s="159">
        <f t="shared" si="244"/>
        <v>0</v>
      </c>
      <c r="U542" s="159">
        <f t="shared" si="244"/>
        <v>0</v>
      </c>
      <c r="V542" s="159">
        <f t="shared" si="244"/>
        <v>0</v>
      </c>
      <c r="W542" s="159">
        <f t="shared" si="244"/>
        <v>0</v>
      </c>
      <c r="X542" s="159">
        <f t="shared" si="244"/>
        <v>0</v>
      </c>
      <c r="Y542" s="159">
        <f t="shared" si="244"/>
        <v>0</v>
      </c>
      <c r="Z542" s="159">
        <f t="shared" si="244"/>
        <v>0</v>
      </c>
      <c r="AA542" s="159">
        <f t="shared" si="244"/>
        <v>0</v>
      </c>
      <c r="AB542" s="159">
        <f t="shared" si="244"/>
        <v>0</v>
      </c>
      <c r="AC542" s="159">
        <f t="shared" si="244"/>
        <v>0</v>
      </c>
      <c r="AD542" s="159">
        <f t="shared" si="244"/>
        <v>0</v>
      </c>
      <c r="AE542" s="159">
        <f t="shared" si="244"/>
        <v>0</v>
      </c>
      <c r="AF542" s="159">
        <f t="shared" si="244"/>
        <v>0</v>
      </c>
      <c r="AG542" s="159">
        <f t="shared" si="244"/>
        <v>0</v>
      </c>
      <c r="AH542" s="159">
        <f t="shared" si="244"/>
        <v>0</v>
      </c>
      <c r="AI542" s="159">
        <f t="shared" si="244"/>
        <v>0</v>
      </c>
      <c r="AJ542" s="159">
        <f t="shared" si="244"/>
        <v>0</v>
      </c>
      <c r="AK542" s="159">
        <f t="shared" si="244"/>
        <v>0</v>
      </c>
      <c r="AL542" s="159">
        <f t="shared" si="244"/>
        <v>0</v>
      </c>
      <c r="AM542" s="159">
        <f t="shared" si="244"/>
        <v>0</v>
      </c>
      <c r="AN542" s="159">
        <f t="shared" si="244"/>
        <v>0</v>
      </c>
      <c r="AO542" s="159">
        <f t="shared" si="244"/>
        <v>0</v>
      </c>
      <c r="AP542" s="159">
        <f t="shared" si="244"/>
        <v>0</v>
      </c>
    </row>
    <row r="543" spans="1:42" x14ac:dyDescent="0.2">
      <c r="A543" s="4">
        <f>A542+1</f>
        <v>9</v>
      </c>
      <c r="C543" s="159">
        <f t="shared" ref="C543:AP543" si="245">C406</f>
        <v>0</v>
      </c>
      <c r="D543" s="159">
        <f t="shared" si="245"/>
        <v>0</v>
      </c>
      <c r="E543" s="159">
        <f t="shared" si="245"/>
        <v>0</v>
      </c>
      <c r="F543" s="159">
        <f t="shared" si="245"/>
        <v>0</v>
      </c>
      <c r="G543" s="159">
        <f t="shared" si="245"/>
        <v>0</v>
      </c>
      <c r="H543" s="159">
        <f t="shared" si="245"/>
        <v>0</v>
      </c>
      <c r="I543" s="159">
        <f t="shared" si="245"/>
        <v>0</v>
      </c>
      <c r="J543" s="159">
        <f t="shared" si="245"/>
        <v>0</v>
      </c>
      <c r="K543" s="159">
        <f t="shared" si="245"/>
        <v>0</v>
      </c>
      <c r="L543" s="159">
        <f t="shared" si="245"/>
        <v>0</v>
      </c>
      <c r="M543" s="159">
        <f t="shared" si="245"/>
        <v>0</v>
      </c>
      <c r="N543" s="159">
        <f t="shared" si="245"/>
        <v>0</v>
      </c>
      <c r="O543" s="159">
        <f t="shared" si="245"/>
        <v>0</v>
      </c>
      <c r="P543" s="159">
        <f t="shared" si="245"/>
        <v>0</v>
      </c>
      <c r="Q543" s="159">
        <f t="shared" si="245"/>
        <v>0</v>
      </c>
      <c r="R543" s="159">
        <f t="shared" si="245"/>
        <v>0</v>
      </c>
      <c r="S543" s="159">
        <f t="shared" si="245"/>
        <v>0</v>
      </c>
      <c r="T543" s="159">
        <f t="shared" si="245"/>
        <v>0</v>
      </c>
      <c r="U543" s="159">
        <f t="shared" si="245"/>
        <v>0</v>
      </c>
      <c r="V543" s="159">
        <f t="shared" si="245"/>
        <v>0</v>
      </c>
      <c r="W543" s="159">
        <f t="shared" si="245"/>
        <v>0</v>
      </c>
      <c r="X543" s="159">
        <f t="shared" si="245"/>
        <v>0</v>
      </c>
      <c r="Y543" s="159">
        <f t="shared" si="245"/>
        <v>0</v>
      </c>
      <c r="Z543" s="159">
        <f t="shared" si="245"/>
        <v>0</v>
      </c>
      <c r="AA543" s="159">
        <f t="shared" si="245"/>
        <v>0</v>
      </c>
      <c r="AB543" s="159">
        <f t="shared" si="245"/>
        <v>0</v>
      </c>
      <c r="AC543" s="159">
        <f t="shared" si="245"/>
        <v>0</v>
      </c>
      <c r="AD543" s="159">
        <f t="shared" si="245"/>
        <v>0</v>
      </c>
      <c r="AE543" s="159">
        <f t="shared" si="245"/>
        <v>0</v>
      </c>
      <c r="AF543" s="159">
        <f t="shared" si="245"/>
        <v>0</v>
      </c>
      <c r="AG543" s="159">
        <f t="shared" si="245"/>
        <v>0</v>
      </c>
      <c r="AH543" s="159">
        <f t="shared" si="245"/>
        <v>0</v>
      </c>
      <c r="AI543" s="159">
        <f t="shared" si="245"/>
        <v>0</v>
      </c>
      <c r="AJ543" s="159">
        <f t="shared" si="245"/>
        <v>0</v>
      </c>
      <c r="AK543" s="159">
        <f t="shared" si="245"/>
        <v>0</v>
      </c>
      <c r="AL543" s="159">
        <f t="shared" si="245"/>
        <v>0</v>
      </c>
      <c r="AM543" s="159">
        <f t="shared" si="245"/>
        <v>0</v>
      </c>
      <c r="AN543" s="159">
        <f t="shared" si="245"/>
        <v>0</v>
      </c>
      <c r="AO543" s="159">
        <f t="shared" si="245"/>
        <v>0</v>
      </c>
      <c r="AP543" s="159">
        <f t="shared" si="245"/>
        <v>0</v>
      </c>
    </row>
    <row r="544" spans="1:42" x14ac:dyDescent="0.2">
      <c r="A544" s="4">
        <f t="shared" ref="A544" si="246">A543+1</f>
        <v>10</v>
      </c>
      <c r="C544" s="159">
        <f t="shared" ref="C544:AP544" si="247">C407</f>
        <v>0</v>
      </c>
      <c r="D544" s="159">
        <f t="shared" si="247"/>
        <v>0</v>
      </c>
      <c r="E544" s="159">
        <f t="shared" si="247"/>
        <v>0</v>
      </c>
      <c r="F544" s="159">
        <f t="shared" si="247"/>
        <v>0</v>
      </c>
      <c r="G544" s="159">
        <f t="shared" si="247"/>
        <v>0</v>
      </c>
      <c r="H544" s="159">
        <f t="shared" si="247"/>
        <v>0</v>
      </c>
      <c r="I544" s="159">
        <f t="shared" si="247"/>
        <v>0</v>
      </c>
      <c r="J544" s="159">
        <f t="shared" si="247"/>
        <v>0</v>
      </c>
      <c r="K544" s="159">
        <f t="shared" si="247"/>
        <v>0</v>
      </c>
      <c r="L544" s="159">
        <f t="shared" si="247"/>
        <v>0</v>
      </c>
      <c r="M544" s="159">
        <f t="shared" si="247"/>
        <v>0</v>
      </c>
      <c r="N544" s="159">
        <f t="shared" si="247"/>
        <v>0</v>
      </c>
      <c r="O544" s="159">
        <f t="shared" si="247"/>
        <v>0</v>
      </c>
      <c r="P544" s="159">
        <f t="shared" si="247"/>
        <v>0</v>
      </c>
      <c r="Q544" s="159">
        <f t="shared" si="247"/>
        <v>0</v>
      </c>
      <c r="R544" s="159">
        <f t="shared" si="247"/>
        <v>0</v>
      </c>
      <c r="S544" s="159">
        <f t="shared" si="247"/>
        <v>0</v>
      </c>
      <c r="T544" s="159">
        <f t="shared" si="247"/>
        <v>0</v>
      </c>
      <c r="U544" s="159">
        <f t="shared" si="247"/>
        <v>0</v>
      </c>
      <c r="V544" s="159">
        <f t="shared" si="247"/>
        <v>0</v>
      </c>
      <c r="W544" s="159">
        <f t="shared" si="247"/>
        <v>0</v>
      </c>
      <c r="X544" s="159">
        <f t="shared" si="247"/>
        <v>0</v>
      </c>
      <c r="Y544" s="159">
        <f t="shared" si="247"/>
        <v>0</v>
      </c>
      <c r="Z544" s="159">
        <f t="shared" si="247"/>
        <v>0</v>
      </c>
      <c r="AA544" s="159">
        <f t="shared" si="247"/>
        <v>0</v>
      </c>
      <c r="AB544" s="159">
        <f t="shared" si="247"/>
        <v>0</v>
      </c>
      <c r="AC544" s="159">
        <f t="shared" si="247"/>
        <v>0</v>
      </c>
      <c r="AD544" s="159">
        <f t="shared" si="247"/>
        <v>0</v>
      </c>
      <c r="AE544" s="159">
        <f t="shared" si="247"/>
        <v>0</v>
      </c>
      <c r="AF544" s="159">
        <f t="shared" si="247"/>
        <v>0</v>
      </c>
      <c r="AG544" s="159">
        <f t="shared" si="247"/>
        <v>0</v>
      </c>
      <c r="AH544" s="159">
        <f t="shared" si="247"/>
        <v>0</v>
      </c>
      <c r="AI544" s="159">
        <f t="shared" si="247"/>
        <v>0</v>
      </c>
      <c r="AJ544" s="159">
        <f t="shared" si="247"/>
        <v>0</v>
      </c>
      <c r="AK544" s="159">
        <f t="shared" si="247"/>
        <v>0</v>
      </c>
      <c r="AL544" s="159">
        <f t="shared" si="247"/>
        <v>0</v>
      </c>
      <c r="AM544" s="159">
        <f t="shared" si="247"/>
        <v>0</v>
      </c>
      <c r="AN544" s="159">
        <f t="shared" si="247"/>
        <v>0</v>
      </c>
      <c r="AO544" s="159">
        <f t="shared" si="247"/>
        <v>0</v>
      </c>
      <c r="AP544" s="159">
        <f t="shared" si="247"/>
        <v>0</v>
      </c>
    </row>
    <row r="545" spans="1:42" x14ac:dyDescent="0.2">
      <c r="A545" s="22"/>
      <c r="C545" s="159"/>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row>
    <row r="546" spans="1:42" x14ac:dyDescent="0.2">
      <c r="A546" s="22" t="s">
        <v>66</v>
      </c>
      <c r="C546" s="159"/>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row>
    <row r="547" spans="1:42" x14ac:dyDescent="0.2">
      <c r="A547" s="4">
        <v>1</v>
      </c>
      <c r="B547" s="149">
        <f t="shared" ref="B547:B556" si="248">SUM(C547:AP547)</f>
        <v>0</v>
      </c>
      <c r="C547" s="159">
        <f t="shared" ref="C547:AP547" si="249">LOOKUP(C535,$B$504:$AP$504,$B$505:$AP$505)*$B712/100</f>
        <v>0</v>
      </c>
      <c r="D547" s="159">
        <f t="shared" si="249"/>
        <v>0</v>
      </c>
      <c r="E547" s="159">
        <f t="shared" si="249"/>
        <v>0</v>
      </c>
      <c r="F547" s="159">
        <f t="shared" si="249"/>
        <v>0</v>
      </c>
      <c r="G547" s="159">
        <f t="shared" si="249"/>
        <v>0</v>
      </c>
      <c r="H547" s="159">
        <f t="shared" si="249"/>
        <v>0</v>
      </c>
      <c r="I547" s="159">
        <f t="shared" si="249"/>
        <v>0</v>
      </c>
      <c r="J547" s="159">
        <f t="shared" si="249"/>
        <v>0</v>
      </c>
      <c r="K547" s="159">
        <f t="shared" si="249"/>
        <v>0</v>
      </c>
      <c r="L547" s="159">
        <f t="shared" si="249"/>
        <v>0</v>
      </c>
      <c r="M547" s="159">
        <f t="shared" si="249"/>
        <v>0</v>
      </c>
      <c r="N547" s="159">
        <f t="shared" si="249"/>
        <v>0</v>
      </c>
      <c r="O547" s="159">
        <f t="shared" si="249"/>
        <v>0</v>
      </c>
      <c r="P547" s="159">
        <f t="shared" si="249"/>
        <v>0</v>
      </c>
      <c r="Q547" s="159">
        <f t="shared" si="249"/>
        <v>0</v>
      </c>
      <c r="R547" s="159">
        <f t="shared" si="249"/>
        <v>0</v>
      </c>
      <c r="S547" s="159">
        <f t="shared" si="249"/>
        <v>0</v>
      </c>
      <c r="T547" s="159">
        <f t="shared" si="249"/>
        <v>0</v>
      </c>
      <c r="U547" s="159">
        <f t="shared" si="249"/>
        <v>0</v>
      </c>
      <c r="V547" s="159">
        <f t="shared" si="249"/>
        <v>0</v>
      </c>
      <c r="W547" s="159">
        <f t="shared" si="249"/>
        <v>0</v>
      </c>
      <c r="X547" s="159">
        <f t="shared" si="249"/>
        <v>0</v>
      </c>
      <c r="Y547" s="159">
        <f t="shared" si="249"/>
        <v>0</v>
      </c>
      <c r="Z547" s="159">
        <f t="shared" si="249"/>
        <v>0</v>
      </c>
      <c r="AA547" s="159">
        <f t="shared" si="249"/>
        <v>0</v>
      </c>
      <c r="AB547" s="159">
        <f t="shared" si="249"/>
        <v>0</v>
      </c>
      <c r="AC547" s="159">
        <f t="shared" si="249"/>
        <v>0</v>
      </c>
      <c r="AD547" s="159">
        <f t="shared" si="249"/>
        <v>0</v>
      </c>
      <c r="AE547" s="159">
        <f t="shared" si="249"/>
        <v>0</v>
      </c>
      <c r="AF547" s="159">
        <f t="shared" si="249"/>
        <v>0</v>
      </c>
      <c r="AG547" s="159">
        <f t="shared" si="249"/>
        <v>0</v>
      </c>
      <c r="AH547" s="159">
        <f t="shared" si="249"/>
        <v>0</v>
      </c>
      <c r="AI547" s="159">
        <f t="shared" si="249"/>
        <v>0</v>
      </c>
      <c r="AJ547" s="159">
        <f t="shared" si="249"/>
        <v>0</v>
      </c>
      <c r="AK547" s="159">
        <f t="shared" si="249"/>
        <v>0</v>
      </c>
      <c r="AL547" s="159">
        <f t="shared" si="249"/>
        <v>0</v>
      </c>
      <c r="AM547" s="159">
        <f t="shared" si="249"/>
        <v>0</v>
      </c>
      <c r="AN547" s="159">
        <f t="shared" si="249"/>
        <v>0</v>
      </c>
      <c r="AO547" s="159">
        <f t="shared" si="249"/>
        <v>0</v>
      </c>
      <c r="AP547" s="159">
        <f t="shared" si="249"/>
        <v>0</v>
      </c>
    </row>
    <row r="548" spans="1:42" x14ac:dyDescent="0.2">
      <c r="A548" s="4">
        <f>A547+1</f>
        <v>2</v>
      </c>
      <c r="B548" s="149">
        <f t="shared" si="248"/>
        <v>0</v>
      </c>
      <c r="C548" s="159">
        <f t="shared" ref="C548:AP548" si="250">LOOKUP(C536,$B$504:$AP$504,$B$505:$AP$505)*$B713/100</f>
        <v>0</v>
      </c>
      <c r="D548" s="159">
        <f t="shared" si="250"/>
        <v>0</v>
      </c>
      <c r="E548" s="159">
        <f t="shared" si="250"/>
        <v>0</v>
      </c>
      <c r="F548" s="159">
        <f t="shared" si="250"/>
        <v>0</v>
      </c>
      <c r="G548" s="159">
        <f t="shared" si="250"/>
        <v>0</v>
      </c>
      <c r="H548" s="159">
        <f t="shared" si="250"/>
        <v>0</v>
      </c>
      <c r="I548" s="159">
        <f t="shared" si="250"/>
        <v>0</v>
      </c>
      <c r="J548" s="159">
        <f t="shared" si="250"/>
        <v>0</v>
      </c>
      <c r="K548" s="159">
        <f t="shared" si="250"/>
        <v>0</v>
      </c>
      <c r="L548" s="159">
        <f t="shared" si="250"/>
        <v>0</v>
      </c>
      <c r="M548" s="159">
        <f t="shared" si="250"/>
        <v>0</v>
      </c>
      <c r="N548" s="159">
        <f t="shared" si="250"/>
        <v>0</v>
      </c>
      <c r="O548" s="159">
        <f t="shared" si="250"/>
        <v>0</v>
      </c>
      <c r="P548" s="159">
        <f t="shared" si="250"/>
        <v>0</v>
      </c>
      <c r="Q548" s="159">
        <f t="shared" si="250"/>
        <v>0</v>
      </c>
      <c r="R548" s="159">
        <f t="shared" si="250"/>
        <v>0</v>
      </c>
      <c r="S548" s="159">
        <f t="shared" si="250"/>
        <v>0</v>
      </c>
      <c r="T548" s="159">
        <f t="shared" si="250"/>
        <v>0</v>
      </c>
      <c r="U548" s="159">
        <f t="shared" si="250"/>
        <v>0</v>
      </c>
      <c r="V548" s="159">
        <f t="shared" si="250"/>
        <v>0</v>
      </c>
      <c r="W548" s="159">
        <f t="shared" si="250"/>
        <v>0</v>
      </c>
      <c r="X548" s="159">
        <f t="shared" si="250"/>
        <v>0</v>
      </c>
      <c r="Y548" s="159">
        <f t="shared" si="250"/>
        <v>0</v>
      </c>
      <c r="Z548" s="159">
        <f t="shared" si="250"/>
        <v>0</v>
      </c>
      <c r="AA548" s="159">
        <f t="shared" si="250"/>
        <v>0</v>
      </c>
      <c r="AB548" s="159">
        <f t="shared" si="250"/>
        <v>0</v>
      </c>
      <c r="AC548" s="159">
        <f t="shared" si="250"/>
        <v>0</v>
      </c>
      <c r="AD548" s="159">
        <f t="shared" si="250"/>
        <v>0</v>
      </c>
      <c r="AE548" s="159">
        <f t="shared" si="250"/>
        <v>0</v>
      </c>
      <c r="AF548" s="159">
        <f t="shared" si="250"/>
        <v>0</v>
      </c>
      <c r="AG548" s="159">
        <f t="shared" si="250"/>
        <v>0</v>
      </c>
      <c r="AH548" s="159">
        <f t="shared" si="250"/>
        <v>0</v>
      </c>
      <c r="AI548" s="159">
        <f t="shared" si="250"/>
        <v>0</v>
      </c>
      <c r="AJ548" s="159">
        <f t="shared" si="250"/>
        <v>0</v>
      </c>
      <c r="AK548" s="159">
        <f t="shared" si="250"/>
        <v>0</v>
      </c>
      <c r="AL548" s="159">
        <f t="shared" si="250"/>
        <v>0</v>
      </c>
      <c r="AM548" s="159">
        <f t="shared" si="250"/>
        <v>0</v>
      </c>
      <c r="AN548" s="159">
        <f t="shared" si="250"/>
        <v>0</v>
      </c>
      <c r="AO548" s="159">
        <f t="shared" si="250"/>
        <v>0</v>
      </c>
      <c r="AP548" s="159">
        <f t="shared" si="250"/>
        <v>0</v>
      </c>
    </row>
    <row r="549" spans="1:42" x14ac:dyDescent="0.2">
      <c r="A549" s="4">
        <f t="shared" ref="A549:A554" si="251">A548+1</f>
        <v>3</v>
      </c>
      <c r="B549" s="149">
        <f t="shared" si="248"/>
        <v>0</v>
      </c>
      <c r="C549" s="159">
        <f t="shared" ref="C549:AP549" si="252">LOOKUP(C537,$B$504:$AP$504,$B$505:$AP$505)*$B714/100</f>
        <v>0</v>
      </c>
      <c r="D549" s="159">
        <f t="shared" si="252"/>
        <v>0</v>
      </c>
      <c r="E549" s="159">
        <f t="shared" si="252"/>
        <v>0</v>
      </c>
      <c r="F549" s="159">
        <f t="shared" si="252"/>
        <v>0</v>
      </c>
      <c r="G549" s="159">
        <f t="shared" si="252"/>
        <v>0</v>
      </c>
      <c r="H549" s="159">
        <f t="shared" si="252"/>
        <v>0</v>
      </c>
      <c r="I549" s="159">
        <f t="shared" si="252"/>
        <v>0</v>
      </c>
      <c r="J549" s="159">
        <f t="shared" si="252"/>
        <v>0</v>
      </c>
      <c r="K549" s="159">
        <f t="shared" si="252"/>
        <v>0</v>
      </c>
      <c r="L549" s="159">
        <f t="shared" si="252"/>
        <v>0</v>
      </c>
      <c r="M549" s="159">
        <f t="shared" si="252"/>
        <v>0</v>
      </c>
      <c r="N549" s="159">
        <f t="shared" si="252"/>
        <v>0</v>
      </c>
      <c r="O549" s="159">
        <f t="shared" si="252"/>
        <v>0</v>
      </c>
      <c r="P549" s="159">
        <f t="shared" si="252"/>
        <v>0</v>
      </c>
      <c r="Q549" s="159">
        <f t="shared" si="252"/>
        <v>0</v>
      </c>
      <c r="R549" s="159">
        <f t="shared" si="252"/>
        <v>0</v>
      </c>
      <c r="S549" s="159">
        <f t="shared" si="252"/>
        <v>0</v>
      </c>
      <c r="T549" s="159">
        <f t="shared" si="252"/>
        <v>0</v>
      </c>
      <c r="U549" s="159">
        <f t="shared" si="252"/>
        <v>0</v>
      </c>
      <c r="V549" s="159">
        <f t="shared" si="252"/>
        <v>0</v>
      </c>
      <c r="W549" s="159">
        <f t="shared" si="252"/>
        <v>0</v>
      </c>
      <c r="X549" s="159">
        <f t="shared" si="252"/>
        <v>0</v>
      </c>
      <c r="Y549" s="159">
        <f t="shared" si="252"/>
        <v>0</v>
      </c>
      <c r="Z549" s="159">
        <f t="shared" si="252"/>
        <v>0</v>
      </c>
      <c r="AA549" s="159">
        <f t="shared" si="252"/>
        <v>0</v>
      </c>
      <c r="AB549" s="159">
        <f t="shared" si="252"/>
        <v>0</v>
      </c>
      <c r="AC549" s="159">
        <f t="shared" si="252"/>
        <v>0</v>
      </c>
      <c r="AD549" s="159">
        <f t="shared" si="252"/>
        <v>0</v>
      </c>
      <c r="AE549" s="159">
        <f t="shared" si="252"/>
        <v>0</v>
      </c>
      <c r="AF549" s="159">
        <f t="shared" si="252"/>
        <v>0</v>
      </c>
      <c r="AG549" s="159">
        <f t="shared" si="252"/>
        <v>0</v>
      </c>
      <c r="AH549" s="159">
        <f t="shared" si="252"/>
        <v>0</v>
      </c>
      <c r="AI549" s="159">
        <f t="shared" si="252"/>
        <v>0</v>
      </c>
      <c r="AJ549" s="159">
        <f t="shared" si="252"/>
        <v>0</v>
      </c>
      <c r="AK549" s="159">
        <f t="shared" si="252"/>
        <v>0</v>
      </c>
      <c r="AL549" s="159">
        <f t="shared" si="252"/>
        <v>0</v>
      </c>
      <c r="AM549" s="159">
        <f t="shared" si="252"/>
        <v>0</v>
      </c>
      <c r="AN549" s="159">
        <f t="shared" si="252"/>
        <v>0</v>
      </c>
      <c r="AO549" s="159">
        <f t="shared" si="252"/>
        <v>0</v>
      </c>
      <c r="AP549" s="159">
        <f t="shared" si="252"/>
        <v>0</v>
      </c>
    </row>
    <row r="550" spans="1:42" x14ac:dyDescent="0.2">
      <c r="A550" s="4">
        <f t="shared" si="251"/>
        <v>4</v>
      </c>
      <c r="B550" s="149">
        <f t="shared" si="248"/>
        <v>0</v>
      </c>
      <c r="C550" s="159">
        <f t="shared" ref="C550:AP550" si="253">LOOKUP(C538,$B$504:$AP$504,$B$505:$AP$505)*$B715/100</f>
        <v>0</v>
      </c>
      <c r="D550" s="159">
        <f t="shared" si="253"/>
        <v>0</v>
      </c>
      <c r="E550" s="159">
        <f t="shared" si="253"/>
        <v>0</v>
      </c>
      <c r="F550" s="159">
        <f t="shared" si="253"/>
        <v>0</v>
      </c>
      <c r="G550" s="159">
        <f t="shared" si="253"/>
        <v>0</v>
      </c>
      <c r="H550" s="159">
        <f t="shared" si="253"/>
        <v>0</v>
      </c>
      <c r="I550" s="159">
        <f t="shared" si="253"/>
        <v>0</v>
      </c>
      <c r="J550" s="159">
        <f t="shared" si="253"/>
        <v>0</v>
      </c>
      <c r="K550" s="159">
        <f t="shared" si="253"/>
        <v>0</v>
      </c>
      <c r="L550" s="159">
        <f t="shared" si="253"/>
        <v>0</v>
      </c>
      <c r="M550" s="159">
        <f t="shared" si="253"/>
        <v>0</v>
      </c>
      <c r="N550" s="159">
        <f t="shared" si="253"/>
        <v>0</v>
      </c>
      <c r="O550" s="159">
        <f t="shared" si="253"/>
        <v>0</v>
      </c>
      <c r="P550" s="159">
        <f t="shared" si="253"/>
        <v>0</v>
      </c>
      <c r="Q550" s="159">
        <f t="shared" si="253"/>
        <v>0</v>
      </c>
      <c r="R550" s="159">
        <f t="shared" si="253"/>
        <v>0</v>
      </c>
      <c r="S550" s="159">
        <f t="shared" si="253"/>
        <v>0</v>
      </c>
      <c r="T550" s="159">
        <f t="shared" si="253"/>
        <v>0</v>
      </c>
      <c r="U550" s="159">
        <f t="shared" si="253"/>
        <v>0</v>
      </c>
      <c r="V550" s="159">
        <f t="shared" si="253"/>
        <v>0</v>
      </c>
      <c r="W550" s="159">
        <f t="shared" si="253"/>
        <v>0</v>
      </c>
      <c r="X550" s="159">
        <f t="shared" si="253"/>
        <v>0</v>
      </c>
      <c r="Y550" s="159">
        <f t="shared" si="253"/>
        <v>0</v>
      </c>
      <c r="Z550" s="159">
        <f t="shared" si="253"/>
        <v>0</v>
      </c>
      <c r="AA550" s="159">
        <f t="shared" si="253"/>
        <v>0</v>
      </c>
      <c r="AB550" s="159">
        <f t="shared" si="253"/>
        <v>0</v>
      </c>
      <c r="AC550" s="159">
        <f t="shared" si="253"/>
        <v>0</v>
      </c>
      <c r="AD550" s="159">
        <f t="shared" si="253"/>
        <v>0</v>
      </c>
      <c r="AE550" s="159">
        <f t="shared" si="253"/>
        <v>0</v>
      </c>
      <c r="AF550" s="159">
        <f t="shared" si="253"/>
        <v>0</v>
      </c>
      <c r="AG550" s="159">
        <f t="shared" si="253"/>
        <v>0</v>
      </c>
      <c r="AH550" s="159">
        <f t="shared" si="253"/>
        <v>0</v>
      </c>
      <c r="AI550" s="159">
        <f t="shared" si="253"/>
        <v>0</v>
      </c>
      <c r="AJ550" s="159">
        <f t="shared" si="253"/>
        <v>0</v>
      </c>
      <c r="AK550" s="159">
        <f t="shared" si="253"/>
        <v>0</v>
      </c>
      <c r="AL550" s="159">
        <f t="shared" si="253"/>
        <v>0</v>
      </c>
      <c r="AM550" s="159">
        <f t="shared" si="253"/>
        <v>0</v>
      </c>
      <c r="AN550" s="159">
        <f t="shared" si="253"/>
        <v>0</v>
      </c>
      <c r="AO550" s="159">
        <f t="shared" si="253"/>
        <v>0</v>
      </c>
      <c r="AP550" s="159">
        <f t="shared" si="253"/>
        <v>0</v>
      </c>
    </row>
    <row r="551" spans="1:42" x14ac:dyDescent="0.2">
      <c r="A551" s="4">
        <f t="shared" si="251"/>
        <v>5</v>
      </c>
      <c r="B551" s="149">
        <f t="shared" si="248"/>
        <v>0</v>
      </c>
      <c r="C551" s="159">
        <f t="shared" ref="C551:AP551" si="254">LOOKUP(C539,$B$504:$AP$504,$B$505:$AP$505)*$B716/100</f>
        <v>0</v>
      </c>
      <c r="D551" s="159">
        <f t="shared" si="254"/>
        <v>0</v>
      </c>
      <c r="E551" s="159">
        <f t="shared" si="254"/>
        <v>0</v>
      </c>
      <c r="F551" s="159">
        <f t="shared" si="254"/>
        <v>0</v>
      </c>
      <c r="G551" s="159">
        <f t="shared" si="254"/>
        <v>0</v>
      </c>
      <c r="H551" s="159">
        <f t="shared" si="254"/>
        <v>0</v>
      </c>
      <c r="I551" s="159">
        <f t="shared" si="254"/>
        <v>0</v>
      </c>
      <c r="J551" s="159">
        <f t="shared" si="254"/>
        <v>0</v>
      </c>
      <c r="K551" s="159">
        <f t="shared" si="254"/>
        <v>0</v>
      </c>
      <c r="L551" s="159">
        <f t="shared" si="254"/>
        <v>0</v>
      </c>
      <c r="M551" s="159">
        <f t="shared" si="254"/>
        <v>0</v>
      </c>
      <c r="N551" s="159">
        <f t="shared" si="254"/>
        <v>0</v>
      </c>
      <c r="O551" s="159">
        <f t="shared" si="254"/>
        <v>0</v>
      </c>
      <c r="P551" s="159">
        <f t="shared" si="254"/>
        <v>0</v>
      </c>
      <c r="Q551" s="159">
        <f t="shared" si="254"/>
        <v>0</v>
      </c>
      <c r="R551" s="159">
        <f t="shared" si="254"/>
        <v>0</v>
      </c>
      <c r="S551" s="159">
        <f t="shared" si="254"/>
        <v>0</v>
      </c>
      <c r="T551" s="159">
        <f t="shared" si="254"/>
        <v>0</v>
      </c>
      <c r="U551" s="159">
        <f t="shared" si="254"/>
        <v>0</v>
      </c>
      <c r="V551" s="159">
        <f t="shared" si="254"/>
        <v>0</v>
      </c>
      <c r="W551" s="159">
        <f t="shared" si="254"/>
        <v>0</v>
      </c>
      <c r="X551" s="159">
        <f t="shared" si="254"/>
        <v>0</v>
      </c>
      <c r="Y551" s="159">
        <f t="shared" si="254"/>
        <v>0</v>
      </c>
      <c r="Z551" s="159">
        <f t="shared" si="254"/>
        <v>0</v>
      </c>
      <c r="AA551" s="159">
        <f t="shared" si="254"/>
        <v>0</v>
      </c>
      <c r="AB551" s="159">
        <f t="shared" si="254"/>
        <v>0</v>
      </c>
      <c r="AC551" s="159">
        <f t="shared" si="254"/>
        <v>0</v>
      </c>
      <c r="AD551" s="159">
        <f t="shared" si="254"/>
        <v>0</v>
      </c>
      <c r="AE551" s="159">
        <f t="shared" si="254"/>
        <v>0</v>
      </c>
      <c r="AF551" s="159">
        <f t="shared" si="254"/>
        <v>0</v>
      </c>
      <c r="AG551" s="159">
        <f t="shared" si="254"/>
        <v>0</v>
      </c>
      <c r="AH551" s="159">
        <f t="shared" si="254"/>
        <v>0</v>
      </c>
      <c r="AI551" s="159">
        <f t="shared" si="254"/>
        <v>0</v>
      </c>
      <c r="AJ551" s="159">
        <f t="shared" si="254"/>
        <v>0</v>
      </c>
      <c r="AK551" s="159">
        <f t="shared" si="254"/>
        <v>0</v>
      </c>
      <c r="AL551" s="159">
        <f t="shared" si="254"/>
        <v>0</v>
      </c>
      <c r="AM551" s="159">
        <f t="shared" si="254"/>
        <v>0</v>
      </c>
      <c r="AN551" s="159">
        <f t="shared" si="254"/>
        <v>0</v>
      </c>
      <c r="AO551" s="159">
        <f t="shared" si="254"/>
        <v>0</v>
      </c>
      <c r="AP551" s="159">
        <f t="shared" si="254"/>
        <v>0</v>
      </c>
    </row>
    <row r="552" spans="1:42" x14ac:dyDescent="0.2">
      <c r="A552" s="4">
        <f t="shared" si="251"/>
        <v>6</v>
      </c>
      <c r="B552" s="149">
        <f t="shared" si="248"/>
        <v>0</v>
      </c>
      <c r="C552" s="159">
        <f t="shared" ref="C552:AP552" si="255">LOOKUP(C540,$B$504:$AP$504,$B$505:$AP$505)*$B717/100</f>
        <v>0</v>
      </c>
      <c r="D552" s="159">
        <f t="shared" si="255"/>
        <v>0</v>
      </c>
      <c r="E552" s="159">
        <f t="shared" si="255"/>
        <v>0</v>
      </c>
      <c r="F552" s="159">
        <f t="shared" si="255"/>
        <v>0</v>
      </c>
      <c r="G552" s="159">
        <f t="shared" si="255"/>
        <v>0</v>
      </c>
      <c r="H552" s="159">
        <f t="shared" si="255"/>
        <v>0</v>
      </c>
      <c r="I552" s="159">
        <f t="shared" si="255"/>
        <v>0</v>
      </c>
      <c r="J552" s="159">
        <f t="shared" si="255"/>
        <v>0</v>
      </c>
      <c r="K552" s="159">
        <f t="shared" si="255"/>
        <v>0</v>
      </c>
      <c r="L552" s="159">
        <f t="shared" si="255"/>
        <v>0</v>
      </c>
      <c r="M552" s="159">
        <f t="shared" si="255"/>
        <v>0</v>
      </c>
      <c r="N552" s="159">
        <f t="shared" si="255"/>
        <v>0</v>
      </c>
      <c r="O552" s="159">
        <f t="shared" si="255"/>
        <v>0</v>
      </c>
      <c r="P552" s="159">
        <f t="shared" si="255"/>
        <v>0</v>
      </c>
      <c r="Q552" s="159">
        <f t="shared" si="255"/>
        <v>0</v>
      </c>
      <c r="R552" s="159">
        <f t="shared" si="255"/>
        <v>0</v>
      </c>
      <c r="S552" s="159">
        <f t="shared" si="255"/>
        <v>0</v>
      </c>
      <c r="T552" s="159">
        <f t="shared" si="255"/>
        <v>0</v>
      </c>
      <c r="U552" s="159">
        <f t="shared" si="255"/>
        <v>0</v>
      </c>
      <c r="V552" s="159">
        <f t="shared" si="255"/>
        <v>0</v>
      </c>
      <c r="W552" s="159">
        <f t="shared" si="255"/>
        <v>0</v>
      </c>
      <c r="X552" s="159">
        <f t="shared" si="255"/>
        <v>0</v>
      </c>
      <c r="Y552" s="159">
        <f t="shared" si="255"/>
        <v>0</v>
      </c>
      <c r="Z552" s="159">
        <f t="shared" si="255"/>
        <v>0</v>
      </c>
      <c r="AA552" s="159">
        <f t="shared" si="255"/>
        <v>0</v>
      </c>
      <c r="AB552" s="159">
        <f t="shared" si="255"/>
        <v>0</v>
      </c>
      <c r="AC552" s="159">
        <f t="shared" si="255"/>
        <v>0</v>
      </c>
      <c r="AD552" s="159">
        <f t="shared" si="255"/>
        <v>0</v>
      </c>
      <c r="AE552" s="159">
        <f t="shared" si="255"/>
        <v>0</v>
      </c>
      <c r="AF552" s="159">
        <f t="shared" si="255"/>
        <v>0</v>
      </c>
      <c r="AG552" s="159">
        <f t="shared" si="255"/>
        <v>0</v>
      </c>
      <c r="AH552" s="159">
        <f t="shared" si="255"/>
        <v>0</v>
      </c>
      <c r="AI552" s="159">
        <f t="shared" si="255"/>
        <v>0</v>
      </c>
      <c r="AJ552" s="159">
        <f t="shared" si="255"/>
        <v>0</v>
      </c>
      <c r="AK552" s="159">
        <f t="shared" si="255"/>
        <v>0</v>
      </c>
      <c r="AL552" s="159">
        <f t="shared" si="255"/>
        <v>0</v>
      </c>
      <c r="AM552" s="159">
        <f t="shared" si="255"/>
        <v>0</v>
      </c>
      <c r="AN552" s="159">
        <f t="shared" si="255"/>
        <v>0</v>
      </c>
      <c r="AO552" s="159">
        <f t="shared" si="255"/>
        <v>0</v>
      </c>
      <c r="AP552" s="159">
        <f t="shared" si="255"/>
        <v>0</v>
      </c>
    </row>
    <row r="553" spans="1:42" x14ac:dyDescent="0.2">
      <c r="A553" s="4">
        <f t="shared" si="251"/>
        <v>7</v>
      </c>
      <c r="B553" s="149">
        <f t="shared" si="248"/>
        <v>0</v>
      </c>
      <c r="C553" s="159">
        <f t="shared" ref="C553:AP553" si="256">LOOKUP(C541,$B$504:$AP$504,$B$505:$AP$505)*$B718/100</f>
        <v>0</v>
      </c>
      <c r="D553" s="159">
        <f t="shared" si="256"/>
        <v>0</v>
      </c>
      <c r="E553" s="159">
        <f t="shared" si="256"/>
        <v>0</v>
      </c>
      <c r="F553" s="159">
        <f t="shared" si="256"/>
        <v>0</v>
      </c>
      <c r="G553" s="159">
        <f t="shared" si="256"/>
        <v>0</v>
      </c>
      <c r="H553" s="159">
        <f t="shared" si="256"/>
        <v>0</v>
      </c>
      <c r="I553" s="159">
        <f t="shared" si="256"/>
        <v>0</v>
      </c>
      <c r="J553" s="159">
        <f t="shared" si="256"/>
        <v>0</v>
      </c>
      <c r="K553" s="159">
        <f t="shared" si="256"/>
        <v>0</v>
      </c>
      <c r="L553" s="159">
        <f t="shared" si="256"/>
        <v>0</v>
      </c>
      <c r="M553" s="159">
        <f t="shared" si="256"/>
        <v>0</v>
      </c>
      <c r="N553" s="159">
        <f t="shared" si="256"/>
        <v>0</v>
      </c>
      <c r="O553" s="159">
        <f t="shared" si="256"/>
        <v>0</v>
      </c>
      <c r="P553" s="159">
        <f t="shared" si="256"/>
        <v>0</v>
      </c>
      <c r="Q553" s="159">
        <f t="shared" si="256"/>
        <v>0</v>
      </c>
      <c r="R553" s="159">
        <f t="shared" si="256"/>
        <v>0</v>
      </c>
      <c r="S553" s="159">
        <f t="shared" si="256"/>
        <v>0</v>
      </c>
      <c r="T553" s="159">
        <f t="shared" si="256"/>
        <v>0</v>
      </c>
      <c r="U553" s="159">
        <f t="shared" si="256"/>
        <v>0</v>
      </c>
      <c r="V553" s="159">
        <f t="shared" si="256"/>
        <v>0</v>
      </c>
      <c r="W553" s="159">
        <f t="shared" si="256"/>
        <v>0</v>
      </c>
      <c r="X553" s="159">
        <f t="shared" si="256"/>
        <v>0</v>
      </c>
      <c r="Y553" s="159">
        <f t="shared" si="256"/>
        <v>0</v>
      </c>
      <c r="Z553" s="159">
        <f t="shared" si="256"/>
        <v>0</v>
      </c>
      <c r="AA553" s="159">
        <f t="shared" si="256"/>
        <v>0</v>
      </c>
      <c r="AB553" s="159">
        <f t="shared" si="256"/>
        <v>0</v>
      </c>
      <c r="AC553" s="159">
        <f t="shared" si="256"/>
        <v>0</v>
      </c>
      <c r="AD553" s="159">
        <f t="shared" si="256"/>
        <v>0</v>
      </c>
      <c r="AE553" s="159">
        <f t="shared" si="256"/>
        <v>0</v>
      </c>
      <c r="AF553" s="159">
        <f t="shared" si="256"/>
        <v>0</v>
      </c>
      <c r="AG553" s="159">
        <f t="shared" si="256"/>
        <v>0</v>
      </c>
      <c r="AH553" s="159">
        <f t="shared" si="256"/>
        <v>0</v>
      </c>
      <c r="AI553" s="159">
        <f t="shared" si="256"/>
        <v>0</v>
      </c>
      <c r="AJ553" s="159">
        <f t="shared" si="256"/>
        <v>0</v>
      </c>
      <c r="AK553" s="159">
        <f t="shared" si="256"/>
        <v>0</v>
      </c>
      <c r="AL553" s="159">
        <f t="shared" si="256"/>
        <v>0</v>
      </c>
      <c r="AM553" s="159">
        <f t="shared" si="256"/>
        <v>0</v>
      </c>
      <c r="AN553" s="159">
        <f t="shared" si="256"/>
        <v>0</v>
      </c>
      <c r="AO553" s="159">
        <f t="shared" si="256"/>
        <v>0</v>
      </c>
      <c r="AP553" s="159">
        <f t="shared" si="256"/>
        <v>0</v>
      </c>
    </row>
    <row r="554" spans="1:42" x14ac:dyDescent="0.2">
      <c r="A554" s="4">
        <f t="shared" si="251"/>
        <v>8</v>
      </c>
      <c r="B554" s="149">
        <f t="shared" si="248"/>
        <v>0</v>
      </c>
      <c r="C554" s="159">
        <f t="shared" ref="C554:AP554" si="257">LOOKUP(C542,$B$504:$AP$504,$B$505:$AP$505)*$B719/100</f>
        <v>0</v>
      </c>
      <c r="D554" s="159">
        <f t="shared" si="257"/>
        <v>0</v>
      </c>
      <c r="E554" s="159">
        <f t="shared" si="257"/>
        <v>0</v>
      </c>
      <c r="F554" s="159">
        <f t="shared" si="257"/>
        <v>0</v>
      </c>
      <c r="G554" s="159">
        <f t="shared" si="257"/>
        <v>0</v>
      </c>
      <c r="H554" s="159">
        <f t="shared" si="257"/>
        <v>0</v>
      </c>
      <c r="I554" s="159">
        <f t="shared" si="257"/>
        <v>0</v>
      </c>
      <c r="J554" s="159">
        <f t="shared" si="257"/>
        <v>0</v>
      </c>
      <c r="K554" s="159">
        <f t="shared" si="257"/>
        <v>0</v>
      </c>
      <c r="L554" s="159">
        <f t="shared" si="257"/>
        <v>0</v>
      </c>
      <c r="M554" s="159">
        <f t="shared" si="257"/>
        <v>0</v>
      </c>
      <c r="N554" s="159">
        <f t="shared" si="257"/>
        <v>0</v>
      </c>
      <c r="O554" s="159">
        <f t="shared" si="257"/>
        <v>0</v>
      </c>
      <c r="P554" s="159">
        <f t="shared" si="257"/>
        <v>0</v>
      </c>
      <c r="Q554" s="159">
        <f t="shared" si="257"/>
        <v>0</v>
      </c>
      <c r="R554" s="159">
        <f t="shared" si="257"/>
        <v>0</v>
      </c>
      <c r="S554" s="159">
        <f t="shared" si="257"/>
        <v>0</v>
      </c>
      <c r="T554" s="159">
        <f t="shared" si="257"/>
        <v>0</v>
      </c>
      <c r="U554" s="159">
        <f t="shared" si="257"/>
        <v>0</v>
      </c>
      <c r="V554" s="159">
        <f t="shared" si="257"/>
        <v>0</v>
      </c>
      <c r="W554" s="159">
        <f t="shared" si="257"/>
        <v>0</v>
      </c>
      <c r="X554" s="159">
        <f t="shared" si="257"/>
        <v>0</v>
      </c>
      <c r="Y554" s="159">
        <f t="shared" si="257"/>
        <v>0</v>
      </c>
      <c r="Z554" s="159">
        <f t="shared" si="257"/>
        <v>0</v>
      </c>
      <c r="AA554" s="159">
        <f t="shared" si="257"/>
        <v>0</v>
      </c>
      <c r="AB554" s="159">
        <f t="shared" si="257"/>
        <v>0</v>
      </c>
      <c r="AC554" s="159">
        <f t="shared" si="257"/>
        <v>0</v>
      </c>
      <c r="AD554" s="159">
        <f t="shared" si="257"/>
        <v>0</v>
      </c>
      <c r="AE554" s="159">
        <f t="shared" si="257"/>
        <v>0</v>
      </c>
      <c r="AF554" s="159">
        <f t="shared" si="257"/>
        <v>0</v>
      </c>
      <c r="AG554" s="159">
        <f t="shared" si="257"/>
        <v>0</v>
      </c>
      <c r="AH554" s="159">
        <f t="shared" si="257"/>
        <v>0</v>
      </c>
      <c r="AI554" s="159">
        <f t="shared" si="257"/>
        <v>0</v>
      </c>
      <c r="AJ554" s="159">
        <f t="shared" si="257"/>
        <v>0</v>
      </c>
      <c r="AK554" s="159">
        <f t="shared" si="257"/>
        <v>0</v>
      </c>
      <c r="AL554" s="159">
        <f t="shared" si="257"/>
        <v>0</v>
      </c>
      <c r="AM554" s="159">
        <f t="shared" si="257"/>
        <v>0</v>
      </c>
      <c r="AN554" s="159">
        <f t="shared" si="257"/>
        <v>0</v>
      </c>
      <c r="AO554" s="159">
        <f t="shared" si="257"/>
        <v>0</v>
      </c>
      <c r="AP554" s="159">
        <f t="shared" si="257"/>
        <v>0</v>
      </c>
    </row>
    <row r="555" spans="1:42" x14ac:dyDescent="0.2">
      <c r="A555" s="4">
        <f>A554+1</f>
        <v>9</v>
      </c>
      <c r="B555" s="149">
        <f t="shared" si="248"/>
        <v>0</v>
      </c>
      <c r="C555" s="159">
        <f t="shared" ref="C555:AP555" si="258">LOOKUP(C543,$B$504:$AP$504,$B$505:$AP$505)*$B720/100</f>
        <v>0</v>
      </c>
      <c r="D555" s="159">
        <f t="shared" si="258"/>
        <v>0</v>
      </c>
      <c r="E555" s="159">
        <f t="shared" si="258"/>
        <v>0</v>
      </c>
      <c r="F555" s="159">
        <f t="shared" si="258"/>
        <v>0</v>
      </c>
      <c r="G555" s="159">
        <f t="shared" si="258"/>
        <v>0</v>
      </c>
      <c r="H555" s="159">
        <f t="shared" si="258"/>
        <v>0</v>
      </c>
      <c r="I555" s="159">
        <f t="shared" si="258"/>
        <v>0</v>
      </c>
      <c r="J555" s="159">
        <f t="shared" si="258"/>
        <v>0</v>
      </c>
      <c r="K555" s="159">
        <f t="shared" si="258"/>
        <v>0</v>
      </c>
      <c r="L555" s="159">
        <f t="shared" si="258"/>
        <v>0</v>
      </c>
      <c r="M555" s="159">
        <f t="shared" si="258"/>
        <v>0</v>
      </c>
      <c r="N555" s="159">
        <f t="shared" si="258"/>
        <v>0</v>
      </c>
      <c r="O555" s="159">
        <f t="shared" si="258"/>
        <v>0</v>
      </c>
      <c r="P555" s="159">
        <f t="shared" si="258"/>
        <v>0</v>
      </c>
      <c r="Q555" s="159">
        <f t="shared" si="258"/>
        <v>0</v>
      </c>
      <c r="R555" s="159">
        <f t="shared" si="258"/>
        <v>0</v>
      </c>
      <c r="S555" s="159">
        <f t="shared" si="258"/>
        <v>0</v>
      </c>
      <c r="T555" s="159">
        <f t="shared" si="258"/>
        <v>0</v>
      </c>
      <c r="U555" s="159">
        <f t="shared" si="258"/>
        <v>0</v>
      </c>
      <c r="V555" s="159">
        <f t="shared" si="258"/>
        <v>0</v>
      </c>
      <c r="W555" s="159">
        <f t="shared" si="258"/>
        <v>0</v>
      </c>
      <c r="X555" s="159">
        <f t="shared" si="258"/>
        <v>0</v>
      </c>
      <c r="Y555" s="159">
        <f t="shared" si="258"/>
        <v>0</v>
      </c>
      <c r="Z555" s="159">
        <f t="shared" si="258"/>
        <v>0</v>
      </c>
      <c r="AA555" s="159">
        <f t="shared" si="258"/>
        <v>0</v>
      </c>
      <c r="AB555" s="159">
        <f t="shared" si="258"/>
        <v>0</v>
      </c>
      <c r="AC555" s="159">
        <f t="shared" si="258"/>
        <v>0</v>
      </c>
      <c r="AD555" s="159">
        <f t="shared" si="258"/>
        <v>0</v>
      </c>
      <c r="AE555" s="159">
        <f t="shared" si="258"/>
        <v>0</v>
      </c>
      <c r="AF555" s="159">
        <f t="shared" si="258"/>
        <v>0</v>
      </c>
      <c r="AG555" s="159">
        <f t="shared" si="258"/>
        <v>0</v>
      </c>
      <c r="AH555" s="159">
        <f t="shared" si="258"/>
        <v>0</v>
      </c>
      <c r="AI555" s="159">
        <f t="shared" si="258"/>
        <v>0</v>
      </c>
      <c r="AJ555" s="159">
        <f t="shared" si="258"/>
        <v>0</v>
      </c>
      <c r="AK555" s="159">
        <f t="shared" si="258"/>
        <v>0</v>
      </c>
      <c r="AL555" s="159">
        <f t="shared" si="258"/>
        <v>0</v>
      </c>
      <c r="AM555" s="159">
        <f t="shared" si="258"/>
        <v>0</v>
      </c>
      <c r="AN555" s="159">
        <f t="shared" si="258"/>
        <v>0</v>
      </c>
      <c r="AO555" s="159">
        <f t="shared" si="258"/>
        <v>0</v>
      </c>
      <c r="AP555" s="159">
        <f t="shared" si="258"/>
        <v>0</v>
      </c>
    </row>
    <row r="556" spans="1:42" x14ac:dyDescent="0.2">
      <c r="A556" s="4">
        <f t="shared" ref="A556" si="259">A555+1</f>
        <v>10</v>
      </c>
      <c r="B556" s="149">
        <f t="shared" si="248"/>
        <v>0</v>
      </c>
      <c r="C556" s="177">
        <f t="shared" ref="C556:AP556" si="260">LOOKUP(C544,$B$504:$AP$504,$B$505:$AP$505)*$B721/100</f>
        <v>0</v>
      </c>
      <c r="D556" s="160">
        <f t="shared" si="260"/>
        <v>0</v>
      </c>
      <c r="E556" s="160">
        <f t="shared" si="260"/>
        <v>0</v>
      </c>
      <c r="F556" s="160">
        <f t="shared" si="260"/>
        <v>0</v>
      </c>
      <c r="G556" s="160">
        <f t="shared" si="260"/>
        <v>0</v>
      </c>
      <c r="H556" s="160">
        <f t="shared" si="260"/>
        <v>0</v>
      </c>
      <c r="I556" s="160">
        <f t="shared" si="260"/>
        <v>0</v>
      </c>
      <c r="J556" s="160">
        <f t="shared" si="260"/>
        <v>0</v>
      </c>
      <c r="K556" s="160">
        <f t="shared" si="260"/>
        <v>0</v>
      </c>
      <c r="L556" s="160">
        <f t="shared" si="260"/>
        <v>0</v>
      </c>
      <c r="M556" s="160">
        <f t="shared" si="260"/>
        <v>0</v>
      </c>
      <c r="N556" s="160">
        <f t="shared" si="260"/>
        <v>0</v>
      </c>
      <c r="O556" s="160">
        <f t="shared" si="260"/>
        <v>0</v>
      </c>
      <c r="P556" s="160">
        <f t="shared" si="260"/>
        <v>0</v>
      </c>
      <c r="Q556" s="160">
        <f t="shared" si="260"/>
        <v>0</v>
      </c>
      <c r="R556" s="160">
        <f t="shared" si="260"/>
        <v>0</v>
      </c>
      <c r="S556" s="160">
        <f t="shared" si="260"/>
        <v>0</v>
      </c>
      <c r="T556" s="160">
        <f t="shared" si="260"/>
        <v>0</v>
      </c>
      <c r="U556" s="160">
        <f t="shared" si="260"/>
        <v>0</v>
      </c>
      <c r="V556" s="160">
        <f t="shared" si="260"/>
        <v>0</v>
      </c>
      <c r="W556" s="160">
        <f t="shared" si="260"/>
        <v>0</v>
      </c>
      <c r="X556" s="160">
        <f t="shared" si="260"/>
        <v>0</v>
      </c>
      <c r="Y556" s="160">
        <f t="shared" si="260"/>
        <v>0</v>
      </c>
      <c r="Z556" s="160">
        <f t="shared" si="260"/>
        <v>0</v>
      </c>
      <c r="AA556" s="160">
        <f t="shared" si="260"/>
        <v>0</v>
      </c>
      <c r="AB556" s="160">
        <f t="shared" si="260"/>
        <v>0</v>
      </c>
      <c r="AC556" s="160">
        <f t="shared" si="260"/>
        <v>0</v>
      </c>
      <c r="AD556" s="160">
        <f t="shared" si="260"/>
        <v>0</v>
      </c>
      <c r="AE556" s="160">
        <f t="shared" si="260"/>
        <v>0</v>
      </c>
      <c r="AF556" s="160">
        <f t="shared" si="260"/>
        <v>0</v>
      </c>
      <c r="AG556" s="160">
        <f t="shared" si="260"/>
        <v>0</v>
      </c>
      <c r="AH556" s="160">
        <f t="shared" si="260"/>
        <v>0</v>
      </c>
      <c r="AI556" s="160">
        <f t="shared" si="260"/>
        <v>0</v>
      </c>
      <c r="AJ556" s="160">
        <f t="shared" si="260"/>
        <v>0</v>
      </c>
      <c r="AK556" s="160">
        <f t="shared" si="260"/>
        <v>0</v>
      </c>
      <c r="AL556" s="160">
        <f t="shared" si="260"/>
        <v>0</v>
      </c>
      <c r="AM556" s="160">
        <f t="shared" si="260"/>
        <v>0</v>
      </c>
      <c r="AN556" s="160">
        <f t="shared" si="260"/>
        <v>0</v>
      </c>
      <c r="AO556" s="160">
        <f t="shared" si="260"/>
        <v>0</v>
      </c>
      <c r="AP556" s="160">
        <f t="shared" si="260"/>
        <v>0</v>
      </c>
    </row>
    <row r="557" spans="1:42" x14ac:dyDescent="0.2">
      <c r="A557" s="27" t="s">
        <v>13</v>
      </c>
      <c r="B557" s="15"/>
      <c r="C557" s="159">
        <f>SUM(C547:C556)</f>
        <v>0</v>
      </c>
      <c r="D557" s="159">
        <f t="shared" ref="D557:AP557" si="261">SUM(D547:D556)</f>
        <v>0</v>
      </c>
      <c r="E557" s="159">
        <f t="shared" si="261"/>
        <v>0</v>
      </c>
      <c r="F557" s="159">
        <f t="shared" si="261"/>
        <v>0</v>
      </c>
      <c r="G557" s="159">
        <f t="shared" si="261"/>
        <v>0</v>
      </c>
      <c r="H557" s="159">
        <f t="shared" si="261"/>
        <v>0</v>
      </c>
      <c r="I557" s="159">
        <f t="shared" si="261"/>
        <v>0</v>
      </c>
      <c r="J557" s="159">
        <f t="shared" si="261"/>
        <v>0</v>
      </c>
      <c r="K557" s="159">
        <f t="shared" si="261"/>
        <v>0</v>
      </c>
      <c r="L557" s="159">
        <f t="shared" si="261"/>
        <v>0</v>
      </c>
      <c r="M557" s="159">
        <f t="shared" si="261"/>
        <v>0</v>
      </c>
      <c r="N557" s="159">
        <f t="shared" si="261"/>
        <v>0</v>
      </c>
      <c r="O557" s="159">
        <f t="shared" si="261"/>
        <v>0</v>
      </c>
      <c r="P557" s="159">
        <f t="shared" si="261"/>
        <v>0</v>
      </c>
      <c r="Q557" s="159">
        <f t="shared" si="261"/>
        <v>0</v>
      </c>
      <c r="R557" s="159">
        <f t="shared" si="261"/>
        <v>0</v>
      </c>
      <c r="S557" s="159">
        <f t="shared" si="261"/>
        <v>0</v>
      </c>
      <c r="T557" s="159">
        <f t="shared" si="261"/>
        <v>0</v>
      </c>
      <c r="U557" s="159">
        <f t="shared" si="261"/>
        <v>0</v>
      </c>
      <c r="V557" s="159">
        <f t="shared" si="261"/>
        <v>0</v>
      </c>
      <c r="W557" s="159">
        <f t="shared" si="261"/>
        <v>0</v>
      </c>
      <c r="X557" s="159">
        <f t="shared" si="261"/>
        <v>0</v>
      </c>
      <c r="Y557" s="159">
        <f t="shared" si="261"/>
        <v>0</v>
      </c>
      <c r="Z557" s="159">
        <f t="shared" si="261"/>
        <v>0</v>
      </c>
      <c r="AA557" s="159">
        <f t="shared" si="261"/>
        <v>0</v>
      </c>
      <c r="AB557" s="159">
        <f t="shared" si="261"/>
        <v>0</v>
      </c>
      <c r="AC557" s="159">
        <f t="shared" si="261"/>
        <v>0</v>
      </c>
      <c r="AD557" s="159">
        <f t="shared" si="261"/>
        <v>0</v>
      </c>
      <c r="AE557" s="159">
        <f t="shared" si="261"/>
        <v>0</v>
      </c>
      <c r="AF557" s="159">
        <f t="shared" si="261"/>
        <v>0</v>
      </c>
      <c r="AG557" s="159">
        <f t="shared" si="261"/>
        <v>0</v>
      </c>
      <c r="AH557" s="159">
        <f t="shared" si="261"/>
        <v>0</v>
      </c>
      <c r="AI557" s="159">
        <f t="shared" si="261"/>
        <v>0</v>
      </c>
      <c r="AJ557" s="159">
        <f t="shared" si="261"/>
        <v>0</v>
      </c>
      <c r="AK557" s="159">
        <f t="shared" si="261"/>
        <v>0</v>
      </c>
      <c r="AL557" s="159">
        <f t="shared" si="261"/>
        <v>0</v>
      </c>
      <c r="AM557" s="159">
        <f t="shared" si="261"/>
        <v>0</v>
      </c>
      <c r="AN557" s="159">
        <f t="shared" si="261"/>
        <v>0</v>
      </c>
      <c r="AO557" s="159">
        <f t="shared" si="261"/>
        <v>0</v>
      </c>
      <c r="AP557" s="159">
        <f t="shared" si="261"/>
        <v>0</v>
      </c>
    </row>
    <row r="558" spans="1:42" x14ac:dyDescent="0.2">
      <c r="A558" s="27"/>
      <c r="B558" s="15"/>
      <c r="C558" s="159"/>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row>
    <row r="559" spans="1:42" x14ac:dyDescent="0.2">
      <c r="A559" s="18" t="s">
        <v>79</v>
      </c>
      <c r="C559" s="159"/>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row>
    <row r="560" spans="1:42" x14ac:dyDescent="0.2">
      <c r="A560" s="22" t="s">
        <v>62</v>
      </c>
      <c r="C560" s="159"/>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row>
    <row r="561" spans="1:42" x14ac:dyDescent="0.2">
      <c r="A561" s="4">
        <v>1</v>
      </c>
      <c r="C561" s="159">
        <f t="shared" ref="C561:AP561" si="262">C424</f>
        <v>0</v>
      </c>
      <c r="D561" s="159">
        <f t="shared" si="262"/>
        <v>0</v>
      </c>
      <c r="E561" s="159">
        <f t="shared" si="262"/>
        <v>0</v>
      </c>
      <c r="F561" s="159">
        <f t="shared" si="262"/>
        <v>0</v>
      </c>
      <c r="G561" s="159">
        <f t="shared" si="262"/>
        <v>0</v>
      </c>
      <c r="H561" s="159">
        <f t="shared" si="262"/>
        <v>0</v>
      </c>
      <c r="I561" s="159">
        <f t="shared" si="262"/>
        <v>0</v>
      </c>
      <c r="J561" s="159">
        <f t="shared" si="262"/>
        <v>0</v>
      </c>
      <c r="K561" s="159">
        <f t="shared" si="262"/>
        <v>0</v>
      </c>
      <c r="L561" s="159">
        <f t="shared" si="262"/>
        <v>0</v>
      </c>
      <c r="M561" s="159">
        <f t="shared" si="262"/>
        <v>0</v>
      </c>
      <c r="N561" s="159">
        <f t="shared" si="262"/>
        <v>0</v>
      </c>
      <c r="O561" s="159">
        <f t="shared" si="262"/>
        <v>0</v>
      </c>
      <c r="P561" s="159">
        <f t="shared" si="262"/>
        <v>0</v>
      </c>
      <c r="Q561" s="159">
        <f t="shared" si="262"/>
        <v>0</v>
      </c>
      <c r="R561" s="159">
        <f t="shared" si="262"/>
        <v>0</v>
      </c>
      <c r="S561" s="159">
        <f t="shared" si="262"/>
        <v>0</v>
      </c>
      <c r="T561" s="159">
        <f t="shared" si="262"/>
        <v>0</v>
      </c>
      <c r="U561" s="159">
        <f t="shared" si="262"/>
        <v>0</v>
      </c>
      <c r="V561" s="159">
        <f t="shared" si="262"/>
        <v>0</v>
      </c>
      <c r="W561" s="159">
        <f t="shared" si="262"/>
        <v>0</v>
      </c>
      <c r="X561" s="159">
        <f t="shared" si="262"/>
        <v>0</v>
      </c>
      <c r="Y561" s="159">
        <f t="shared" si="262"/>
        <v>0</v>
      </c>
      <c r="Z561" s="159">
        <f t="shared" si="262"/>
        <v>0</v>
      </c>
      <c r="AA561" s="159">
        <f t="shared" si="262"/>
        <v>0</v>
      </c>
      <c r="AB561" s="159">
        <f t="shared" si="262"/>
        <v>0</v>
      </c>
      <c r="AC561" s="159">
        <f t="shared" si="262"/>
        <v>0</v>
      </c>
      <c r="AD561" s="159">
        <f t="shared" si="262"/>
        <v>0</v>
      </c>
      <c r="AE561" s="159">
        <f t="shared" si="262"/>
        <v>0</v>
      </c>
      <c r="AF561" s="159">
        <f t="shared" si="262"/>
        <v>0</v>
      </c>
      <c r="AG561" s="159">
        <f t="shared" si="262"/>
        <v>0</v>
      </c>
      <c r="AH561" s="159">
        <f t="shared" si="262"/>
        <v>0</v>
      </c>
      <c r="AI561" s="159">
        <f t="shared" si="262"/>
        <v>0</v>
      </c>
      <c r="AJ561" s="159">
        <f t="shared" si="262"/>
        <v>0</v>
      </c>
      <c r="AK561" s="159">
        <f t="shared" si="262"/>
        <v>0</v>
      </c>
      <c r="AL561" s="159">
        <f t="shared" si="262"/>
        <v>0</v>
      </c>
      <c r="AM561" s="159">
        <f t="shared" si="262"/>
        <v>0</v>
      </c>
      <c r="AN561" s="159">
        <f t="shared" si="262"/>
        <v>0</v>
      </c>
      <c r="AO561" s="159">
        <f t="shared" si="262"/>
        <v>0</v>
      </c>
      <c r="AP561" s="159">
        <f t="shared" si="262"/>
        <v>0</v>
      </c>
    </row>
    <row r="562" spans="1:42" x14ac:dyDescent="0.2">
      <c r="A562" s="4">
        <f>A561+1</f>
        <v>2</v>
      </c>
      <c r="C562" s="159">
        <f t="shared" ref="C562:AP562" si="263">C425</f>
        <v>0</v>
      </c>
      <c r="D562" s="159">
        <f t="shared" si="263"/>
        <v>0</v>
      </c>
      <c r="E562" s="159">
        <f t="shared" si="263"/>
        <v>0</v>
      </c>
      <c r="F562" s="159">
        <f t="shared" si="263"/>
        <v>0</v>
      </c>
      <c r="G562" s="159">
        <f t="shared" si="263"/>
        <v>0</v>
      </c>
      <c r="H562" s="159">
        <f t="shared" si="263"/>
        <v>0</v>
      </c>
      <c r="I562" s="159">
        <f t="shared" si="263"/>
        <v>0</v>
      </c>
      <c r="J562" s="159">
        <f t="shared" si="263"/>
        <v>0</v>
      </c>
      <c r="K562" s="159">
        <f t="shared" si="263"/>
        <v>0</v>
      </c>
      <c r="L562" s="159">
        <f t="shared" si="263"/>
        <v>0</v>
      </c>
      <c r="M562" s="159">
        <f t="shared" si="263"/>
        <v>0</v>
      </c>
      <c r="N562" s="159">
        <f t="shared" si="263"/>
        <v>0</v>
      </c>
      <c r="O562" s="159">
        <f t="shared" si="263"/>
        <v>0</v>
      </c>
      <c r="P562" s="159">
        <f t="shared" si="263"/>
        <v>0</v>
      </c>
      <c r="Q562" s="159">
        <f t="shared" si="263"/>
        <v>0</v>
      </c>
      <c r="R562" s="159">
        <f t="shared" si="263"/>
        <v>0</v>
      </c>
      <c r="S562" s="159">
        <f t="shared" si="263"/>
        <v>0</v>
      </c>
      <c r="T562" s="159">
        <f t="shared" si="263"/>
        <v>0</v>
      </c>
      <c r="U562" s="159">
        <f t="shared" si="263"/>
        <v>0</v>
      </c>
      <c r="V562" s="159">
        <f t="shared" si="263"/>
        <v>0</v>
      </c>
      <c r="W562" s="159">
        <f t="shared" si="263"/>
        <v>0</v>
      </c>
      <c r="X562" s="159">
        <f t="shared" si="263"/>
        <v>0</v>
      </c>
      <c r="Y562" s="159">
        <f t="shared" si="263"/>
        <v>0</v>
      </c>
      <c r="Z562" s="159">
        <f t="shared" si="263"/>
        <v>0</v>
      </c>
      <c r="AA562" s="159">
        <f t="shared" si="263"/>
        <v>0</v>
      </c>
      <c r="AB562" s="159">
        <f t="shared" si="263"/>
        <v>0</v>
      </c>
      <c r="AC562" s="159">
        <f t="shared" si="263"/>
        <v>0</v>
      </c>
      <c r="AD562" s="159">
        <f t="shared" si="263"/>
        <v>0</v>
      </c>
      <c r="AE562" s="159">
        <f t="shared" si="263"/>
        <v>0</v>
      </c>
      <c r="AF562" s="159">
        <f t="shared" si="263"/>
        <v>0</v>
      </c>
      <c r="AG562" s="159">
        <f t="shared" si="263"/>
        <v>0</v>
      </c>
      <c r="AH562" s="159">
        <f t="shared" si="263"/>
        <v>0</v>
      </c>
      <c r="AI562" s="159">
        <f t="shared" si="263"/>
        <v>0</v>
      </c>
      <c r="AJ562" s="159">
        <f t="shared" si="263"/>
        <v>0</v>
      </c>
      <c r="AK562" s="159">
        <f t="shared" si="263"/>
        <v>0</v>
      </c>
      <c r="AL562" s="159">
        <f t="shared" si="263"/>
        <v>0</v>
      </c>
      <c r="AM562" s="159">
        <f t="shared" si="263"/>
        <v>0</v>
      </c>
      <c r="AN562" s="159">
        <f t="shared" si="263"/>
        <v>0</v>
      </c>
      <c r="AO562" s="159">
        <f t="shared" si="263"/>
        <v>0</v>
      </c>
      <c r="AP562" s="159">
        <f t="shared" si="263"/>
        <v>0</v>
      </c>
    </row>
    <row r="563" spans="1:42" x14ac:dyDescent="0.2">
      <c r="A563" s="4">
        <f t="shared" ref="A563:A568" si="264">A562+1</f>
        <v>3</v>
      </c>
      <c r="C563" s="159">
        <f t="shared" ref="C563:AP563" si="265">C426</f>
        <v>0</v>
      </c>
      <c r="D563" s="159">
        <f t="shared" si="265"/>
        <v>0</v>
      </c>
      <c r="E563" s="159">
        <f t="shared" si="265"/>
        <v>0</v>
      </c>
      <c r="F563" s="159">
        <f t="shared" si="265"/>
        <v>0</v>
      </c>
      <c r="G563" s="159">
        <f t="shared" si="265"/>
        <v>0</v>
      </c>
      <c r="H563" s="159">
        <f t="shared" si="265"/>
        <v>0</v>
      </c>
      <c r="I563" s="159">
        <f t="shared" si="265"/>
        <v>0</v>
      </c>
      <c r="J563" s="159">
        <f t="shared" si="265"/>
        <v>0</v>
      </c>
      <c r="K563" s="159">
        <f t="shared" si="265"/>
        <v>0</v>
      </c>
      <c r="L563" s="159">
        <f t="shared" si="265"/>
        <v>0</v>
      </c>
      <c r="M563" s="159">
        <f t="shared" si="265"/>
        <v>0</v>
      </c>
      <c r="N563" s="159">
        <f t="shared" si="265"/>
        <v>0</v>
      </c>
      <c r="O563" s="159">
        <f t="shared" si="265"/>
        <v>0</v>
      </c>
      <c r="P563" s="159">
        <f t="shared" si="265"/>
        <v>0</v>
      </c>
      <c r="Q563" s="159">
        <f t="shared" si="265"/>
        <v>0</v>
      </c>
      <c r="R563" s="159">
        <f t="shared" si="265"/>
        <v>0</v>
      </c>
      <c r="S563" s="159">
        <f t="shared" si="265"/>
        <v>0</v>
      </c>
      <c r="T563" s="159">
        <f t="shared" si="265"/>
        <v>0</v>
      </c>
      <c r="U563" s="159">
        <f t="shared" si="265"/>
        <v>0</v>
      </c>
      <c r="V563" s="159">
        <f t="shared" si="265"/>
        <v>0</v>
      </c>
      <c r="W563" s="159">
        <f t="shared" si="265"/>
        <v>0</v>
      </c>
      <c r="X563" s="159">
        <f t="shared" si="265"/>
        <v>0</v>
      </c>
      <c r="Y563" s="159">
        <f t="shared" si="265"/>
        <v>0</v>
      </c>
      <c r="Z563" s="159">
        <f t="shared" si="265"/>
        <v>0</v>
      </c>
      <c r="AA563" s="159">
        <f t="shared" si="265"/>
        <v>0</v>
      </c>
      <c r="AB563" s="159">
        <f t="shared" si="265"/>
        <v>0</v>
      </c>
      <c r="AC563" s="159">
        <f t="shared" si="265"/>
        <v>0</v>
      </c>
      <c r="AD563" s="159">
        <f t="shared" si="265"/>
        <v>0</v>
      </c>
      <c r="AE563" s="159">
        <f t="shared" si="265"/>
        <v>0</v>
      </c>
      <c r="AF563" s="159">
        <f t="shared" si="265"/>
        <v>0</v>
      </c>
      <c r="AG563" s="159">
        <f t="shared" si="265"/>
        <v>0</v>
      </c>
      <c r="AH563" s="159">
        <f t="shared" si="265"/>
        <v>0</v>
      </c>
      <c r="AI563" s="159">
        <f t="shared" si="265"/>
        <v>0</v>
      </c>
      <c r="AJ563" s="159">
        <f t="shared" si="265"/>
        <v>0</v>
      </c>
      <c r="AK563" s="159">
        <f t="shared" si="265"/>
        <v>0</v>
      </c>
      <c r="AL563" s="159">
        <f t="shared" si="265"/>
        <v>0</v>
      </c>
      <c r="AM563" s="159">
        <f t="shared" si="265"/>
        <v>0</v>
      </c>
      <c r="AN563" s="159">
        <f t="shared" si="265"/>
        <v>0</v>
      </c>
      <c r="AO563" s="159">
        <f t="shared" si="265"/>
        <v>0</v>
      </c>
      <c r="AP563" s="159">
        <f t="shared" si="265"/>
        <v>0</v>
      </c>
    </row>
    <row r="564" spans="1:42" x14ac:dyDescent="0.2">
      <c r="A564" s="4">
        <f t="shared" si="264"/>
        <v>4</v>
      </c>
      <c r="C564" s="159">
        <f t="shared" ref="C564:AP564" si="266">C427</f>
        <v>0</v>
      </c>
      <c r="D564" s="159">
        <f t="shared" si="266"/>
        <v>0</v>
      </c>
      <c r="E564" s="159">
        <f t="shared" si="266"/>
        <v>0</v>
      </c>
      <c r="F564" s="159">
        <f t="shared" si="266"/>
        <v>0</v>
      </c>
      <c r="G564" s="159">
        <f t="shared" si="266"/>
        <v>0</v>
      </c>
      <c r="H564" s="159">
        <f t="shared" si="266"/>
        <v>0</v>
      </c>
      <c r="I564" s="159">
        <f t="shared" si="266"/>
        <v>0</v>
      </c>
      <c r="J564" s="159">
        <f t="shared" si="266"/>
        <v>0</v>
      </c>
      <c r="K564" s="159">
        <f t="shared" si="266"/>
        <v>0</v>
      </c>
      <c r="L564" s="159">
        <f t="shared" si="266"/>
        <v>0</v>
      </c>
      <c r="M564" s="159">
        <f t="shared" si="266"/>
        <v>0</v>
      </c>
      <c r="N564" s="159">
        <f t="shared" si="266"/>
        <v>0</v>
      </c>
      <c r="O564" s="159">
        <f t="shared" si="266"/>
        <v>0</v>
      </c>
      <c r="P564" s="159">
        <f t="shared" si="266"/>
        <v>0</v>
      </c>
      <c r="Q564" s="159">
        <f t="shared" si="266"/>
        <v>0</v>
      </c>
      <c r="R564" s="159">
        <f t="shared" si="266"/>
        <v>0</v>
      </c>
      <c r="S564" s="159">
        <f t="shared" si="266"/>
        <v>0</v>
      </c>
      <c r="T564" s="159">
        <f t="shared" si="266"/>
        <v>0</v>
      </c>
      <c r="U564" s="159">
        <f t="shared" si="266"/>
        <v>0</v>
      </c>
      <c r="V564" s="159">
        <f t="shared" si="266"/>
        <v>0</v>
      </c>
      <c r="W564" s="159">
        <f t="shared" si="266"/>
        <v>0</v>
      </c>
      <c r="X564" s="159">
        <f t="shared" si="266"/>
        <v>0</v>
      </c>
      <c r="Y564" s="159">
        <f t="shared" si="266"/>
        <v>0</v>
      </c>
      <c r="Z564" s="159">
        <f t="shared" si="266"/>
        <v>0</v>
      </c>
      <c r="AA564" s="159">
        <f t="shared" si="266"/>
        <v>0</v>
      </c>
      <c r="AB564" s="159">
        <f t="shared" si="266"/>
        <v>0</v>
      </c>
      <c r="AC564" s="159">
        <f t="shared" si="266"/>
        <v>0</v>
      </c>
      <c r="AD564" s="159">
        <f t="shared" si="266"/>
        <v>0</v>
      </c>
      <c r="AE564" s="159">
        <f t="shared" si="266"/>
        <v>0</v>
      </c>
      <c r="AF564" s="159">
        <f t="shared" si="266"/>
        <v>0</v>
      </c>
      <c r="AG564" s="159">
        <f t="shared" si="266"/>
        <v>0</v>
      </c>
      <c r="AH564" s="159">
        <f t="shared" si="266"/>
        <v>0</v>
      </c>
      <c r="AI564" s="159">
        <f t="shared" si="266"/>
        <v>0</v>
      </c>
      <c r="AJ564" s="159">
        <f t="shared" si="266"/>
        <v>0</v>
      </c>
      <c r="AK564" s="159">
        <f t="shared" si="266"/>
        <v>0</v>
      </c>
      <c r="AL564" s="159">
        <f t="shared" si="266"/>
        <v>0</v>
      </c>
      <c r="AM564" s="159">
        <f t="shared" si="266"/>
        <v>0</v>
      </c>
      <c r="AN564" s="159">
        <f t="shared" si="266"/>
        <v>0</v>
      </c>
      <c r="AO564" s="159">
        <f t="shared" si="266"/>
        <v>0</v>
      </c>
      <c r="AP564" s="159">
        <f t="shared" si="266"/>
        <v>0</v>
      </c>
    </row>
    <row r="565" spans="1:42" x14ac:dyDescent="0.2">
      <c r="A565" s="4">
        <f t="shared" si="264"/>
        <v>5</v>
      </c>
      <c r="C565" s="159">
        <f t="shared" ref="C565:AP565" si="267">C428</f>
        <v>0</v>
      </c>
      <c r="D565" s="159">
        <f t="shared" si="267"/>
        <v>0</v>
      </c>
      <c r="E565" s="159">
        <f t="shared" si="267"/>
        <v>0</v>
      </c>
      <c r="F565" s="159">
        <f t="shared" si="267"/>
        <v>0</v>
      </c>
      <c r="G565" s="159">
        <f t="shared" si="267"/>
        <v>0</v>
      </c>
      <c r="H565" s="159">
        <f t="shared" si="267"/>
        <v>0</v>
      </c>
      <c r="I565" s="159">
        <f t="shared" si="267"/>
        <v>0</v>
      </c>
      <c r="J565" s="159">
        <f t="shared" si="267"/>
        <v>0</v>
      </c>
      <c r="K565" s="159">
        <f t="shared" si="267"/>
        <v>0</v>
      </c>
      <c r="L565" s="159">
        <f t="shared" si="267"/>
        <v>0</v>
      </c>
      <c r="M565" s="159">
        <f t="shared" si="267"/>
        <v>0</v>
      </c>
      <c r="N565" s="159">
        <f t="shared" si="267"/>
        <v>0</v>
      </c>
      <c r="O565" s="159">
        <f t="shared" si="267"/>
        <v>0</v>
      </c>
      <c r="P565" s="159">
        <f t="shared" si="267"/>
        <v>0</v>
      </c>
      <c r="Q565" s="159">
        <f t="shared" si="267"/>
        <v>0</v>
      </c>
      <c r="R565" s="159">
        <f t="shared" si="267"/>
        <v>0</v>
      </c>
      <c r="S565" s="159">
        <f t="shared" si="267"/>
        <v>0</v>
      </c>
      <c r="T565" s="159">
        <f t="shared" si="267"/>
        <v>0</v>
      </c>
      <c r="U565" s="159">
        <f t="shared" si="267"/>
        <v>0</v>
      </c>
      <c r="V565" s="159">
        <f t="shared" si="267"/>
        <v>0</v>
      </c>
      <c r="W565" s="159">
        <f t="shared" si="267"/>
        <v>0</v>
      </c>
      <c r="X565" s="159">
        <f t="shared" si="267"/>
        <v>0</v>
      </c>
      <c r="Y565" s="159">
        <f t="shared" si="267"/>
        <v>0</v>
      </c>
      <c r="Z565" s="159">
        <f t="shared" si="267"/>
        <v>0</v>
      </c>
      <c r="AA565" s="159">
        <f t="shared" si="267"/>
        <v>0</v>
      </c>
      <c r="AB565" s="159">
        <f t="shared" si="267"/>
        <v>0</v>
      </c>
      <c r="AC565" s="159">
        <f t="shared" si="267"/>
        <v>0</v>
      </c>
      <c r="AD565" s="159">
        <f t="shared" si="267"/>
        <v>0</v>
      </c>
      <c r="AE565" s="159">
        <f t="shared" si="267"/>
        <v>0</v>
      </c>
      <c r="AF565" s="159">
        <f t="shared" si="267"/>
        <v>0</v>
      </c>
      <c r="AG565" s="159">
        <f t="shared" si="267"/>
        <v>0</v>
      </c>
      <c r="AH565" s="159">
        <f t="shared" si="267"/>
        <v>0</v>
      </c>
      <c r="AI565" s="159">
        <f t="shared" si="267"/>
        <v>0</v>
      </c>
      <c r="AJ565" s="159">
        <f t="shared" si="267"/>
        <v>0</v>
      </c>
      <c r="AK565" s="159">
        <f t="shared" si="267"/>
        <v>0</v>
      </c>
      <c r="AL565" s="159">
        <f t="shared" si="267"/>
        <v>0</v>
      </c>
      <c r="AM565" s="159">
        <f t="shared" si="267"/>
        <v>0</v>
      </c>
      <c r="AN565" s="159">
        <f t="shared" si="267"/>
        <v>0</v>
      </c>
      <c r="AO565" s="159">
        <f t="shared" si="267"/>
        <v>0</v>
      </c>
      <c r="AP565" s="159">
        <f t="shared" si="267"/>
        <v>0</v>
      </c>
    </row>
    <row r="566" spans="1:42" x14ac:dyDescent="0.2">
      <c r="A566" s="4">
        <f t="shared" si="264"/>
        <v>6</v>
      </c>
      <c r="C566" s="159">
        <f t="shared" ref="C566:AP566" si="268">C429</f>
        <v>0</v>
      </c>
      <c r="D566" s="159">
        <f t="shared" si="268"/>
        <v>0</v>
      </c>
      <c r="E566" s="159">
        <f t="shared" si="268"/>
        <v>0</v>
      </c>
      <c r="F566" s="159">
        <f t="shared" si="268"/>
        <v>0</v>
      </c>
      <c r="G566" s="159">
        <f t="shared" si="268"/>
        <v>0</v>
      </c>
      <c r="H566" s="159">
        <f t="shared" si="268"/>
        <v>0</v>
      </c>
      <c r="I566" s="159">
        <f t="shared" si="268"/>
        <v>0</v>
      </c>
      <c r="J566" s="159">
        <f t="shared" si="268"/>
        <v>0</v>
      </c>
      <c r="K566" s="159">
        <f t="shared" si="268"/>
        <v>0</v>
      </c>
      <c r="L566" s="159">
        <f t="shared" si="268"/>
        <v>0</v>
      </c>
      <c r="M566" s="159">
        <f t="shared" si="268"/>
        <v>0</v>
      </c>
      <c r="N566" s="159">
        <f t="shared" si="268"/>
        <v>0</v>
      </c>
      <c r="O566" s="159">
        <f t="shared" si="268"/>
        <v>0</v>
      </c>
      <c r="P566" s="159">
        <f t="shared" si="268"/>
        <v>0</v>
      </c>
      <c r="Q566" s="159">
        <f t="shared" si="268"/>
        <v>0</v>
      </c>
      <c r="R566" s="159">
        <f t="shared" si="268"/>
        <v>0</v>
      </c>
      <c r="S566" s="159">
        <f t="shared" si="268"/>
        <v>0</v>
      </c>
      <c r="T566" s="159">
        <f t="shared" si="268"/>
        <v>0</v>
      </c>
      <c r="U566" s="159">
        <f t="shared" si="268"/>
        <v>0</v>
      </c>
      <c r="V566" s="159">
        <f t="shared" si="268"/>
        <v>0</v>
      </c>
      <c r="W566" s="159">
        <f t="shared" si="268"/>
        <v>0</v>
      </c>
      <c r="X566" s="159">
        <f t="shared" si="268"/>
        <v>0</v>
      </c>
      <c r="Y566" s="159">
        <f t="shared" si="268"/>
        <v>0</v>
      </c>
      <c r="Z566" s="159">
        <f t="shared" si="268"/>
        <v>0</v>
      </c>
      <c r="AA566" s="159">
        <f t="shared" si="268"/>
        <v>0</v>
      </c>
      <c r="AB566" s="159">
        <f t="shared" si="268"/>
        <v>0</v>
      </c>
      <c r="AC566" s="159">
        <f t="shared" si="268"/>
        <v>0</v>
      </c>
      <c r="AD566" s="159">
        <f t="shared" si="268"/>
        <v>0</v>
      </c>
      <c r="AE566" s="159">
        <f t="shared" si="268"/>
        <v>0</v>
      </c>
      <c r="AF566" s="159">
        <f t="shared" si="268"/>
        <v>0</v>
      </c>
      <c r="AG566" s="159">
        <f t="shared" si="268"/>
        <v>0</v>
      </c>
      <c r="AH566" s="159">
        <f t="shared" si="268"/>
        <v>0</v>
      </c>
      <c r="AI566" s="159">
        <f t="shared" si="268"/>
        <v>0</v>
      </c>
      <c r="AJ566" s="159">
        <f t="shared" si="268"/>
        <v>0</v>
      </c>
      <c r="AK566" s="159">
        <f t="shared" si="268"/>
        <v>0</v>
      </c>
      <c r="AL566" s="159">
        <f t="shared" si="268"/>
        <v>0</v>
      </c>
      <c r="AM566" s="159">
        <f t="shared" si="268"/>
        <v>0</v>
      </c>
      <c r="AN566" s="159">
        <f t="shared" si="268"/>
        <v>0</v>
      </c>
      <c r="AO566" s="159">
        <f t="shared" si="268"/>
        <v>0</v>
      </c>
      <c r="AP566" s="159">
        <f t="shared" si="268"/>
        <v>0</v>
      </c>
    </row>
    <row r="567" spans="1:42" x14ac:dyDescent="0.2">
      <c r="A567" s="4">
        <f t="shared" si="264"/>
        <v>7</v>
      </c>
      <c r="C567" s="159">
        <f t="shared" ref="C567:AP567" si="269">C430</f>
        <v>0</v>
      </c>
      <c r="D567" s="159">
        <f t="shared" si="269"/>
        <v>0</v>
      </c>
      <c r="E567" s="159">
        <f t="shared" si="269"/>
        <v>0</v>
      </c>
      <c r="F567" s="159">
        <f t="shared" si="269"/>
        <v>0</v>
      </c>
      <c r="G567" s="159">
        <f t="shared" si="269"/>
        <v>0</v>
      </c>
      <c r="H567" s="159">
        <f t="shared" si="269"/>
        <v>0</v>
      </c>
      <c r="I567" s="159">
        <f t="shared" si="269"/>
        <v>0</v>
      </c>
      <c r="J567" s="159">
        <f t="shared" si="269"/>
        <v>0</v>
      </c>
      <c r="K567" s="159">
        <f t="shared" si="269"/>
        <v>0</v>
      </c>
      <c r="L567" s="159">
        <f t="shared" si="269"/>
        <v>0</v>
      </c>
      <c r="M567" s="159">
        <f t="shared" si="269"/>
        <v>0</v>
      </c>
      <c r="N567" s="159">
        <f t="shared" si="269"/>
        <v>0</v>
      </c>
      <c r="O567" s="159">
        <f t="shared" si="269"/>
        <v>0</v>
      </c>
      <c r="P567" s="159">
        <f t="shared" si="269"/>
        <v>0</v>
      </c>
      <c r="Q567" s="159">
        <f t="shared" si="269"/>
        <v>0</v>
      </c>
      <c r="R567" s="159">
        <f t="shared" si="269"/>
        <v>0</v>
      </c>
      <c r="S567" s="159">
        <f t="shared" si="269"/>
        <v>0</v>
      </c>
      <c r="T567" s="159">
        <f t="shared" si="269"/>
        <v>0</v>
      </c>
      <c r="U567" s="159">
        <f t="shared" si="269"/>
        <v>0</v>
      </c>
      <c r="V567" s="159">
        <f t="shared" si="269"/>
        <v>0</v>
      </c>
      <c r="W567" s="159">
        <f t="shared" si="269"/>
        <v>0</v>
      </c>
      <c r="X567" s="159">
        <f t="shared" si="269"/>
        <v>0</v>
      </c>
      <c r="Y567" s="159">
        <f t="shared" si="269"/>
        <v>0</v>
      </c>
      <c r="Z567" s="159">
        <f t="shared" si="269"/>
        <v>0</v>
      </c>
      <c r="AA567" s="159">
        <f t="shared" si="269"/>
        <v>0</v>
      </c>
      <c r="AB567" s="159">
        <f t="shared" si="269"/>
        <v>0</v>
      </c>
      <c r="AC567" s="159">
        <f t="shared" si="269"/>
        <v>0</v>
      </c>
      <c r="AD567" s="159">
        <f t="shared" si="269"/>
        <v>0</v>
      </c>
      <c r="AE567" s="159">
        <f t="shared" si="269"/>
        <v>0</v>
      </c>
      <c r="AF567" s="159">
        <f t="shared" si="269"/>
        <v>0</v>
      </c>
      <c r="AG567" s="159">
        <f t="shared" si="269"/>
        <v>0</v>
      </c>
      <c r="AH567" s="159">
        <f t="shared" si="269"/>
        <v>0</v>
      </c>
      <c r="AI567" s="159">
        <f t="shared" si="269"/>
        <v>0</v>
      </c>
      <c r="AJ567" s="159">
        <f t="shared" si="269"/>
        <v>0</v>
      </c>
      <c r="AK567" s="159">
        <f t="shared" si="269"/>
        <v>0</v>
      </c>
      <c r="AL567" s="159">
        <f t="shared" si="269"/>
        <v>0</v>
      </c>
      <c r="AM567" s="159">
        <f t="shared" si="269"/>
        <v>0</v>
      </c>
      <c r="AN567" s="159">
        <f t="shared" si="269"/>
        <v>0</v>
      </c>
      <c r="AO567" s="159">
        <f t="shared" si="269"/>
        <v>0</v>
      </c>
      <c r="AP567" s="159">
        <f t="shared" si="269"/>
        <v>0</v>
      </c>
    </row>
    <row r="568" spans="1:42" x14ac:dyDescent="0.2">
      <c r="A568" s="4">
        <f t="shared" si="264"/>
        <v>8</v>
      </c>
      <c r="C568" s="159">
        <f t="shared" ref="C568:AP568" si="270">C431</f>
        <v>0</v>
      </c>
      <c r="D568" s="159">
        <f t="shared" si="270"/>
        <v>0</v>
      </c>
      <c r="E568" s="159">
        <f t="shared" si="270"/>
        <v>0</v>
      </c>
      <c r="F568" s="159">
        <f t="shared" si="270"/>
        <v>0</v>
      </c>
      <c r="G568" s="159">
        <f t="shared" si="270"/>
        <v>0</v>
      </c>
      <c r="H568" s="159">
        <f t="shared" si="270"/>
        <v>0</v>
      </c>
      <c r="I568" s="159">
        <f t="shared" si="270"/>
        <v>0</v>
      </c>
      <c r="J568" s="159">
        <f t="shared" si="270"/>
        <v>0</v>
      </c>
      <c r="K568" s="159">
        <f t="shared" si="270"/>
        <v>0</v>
      </c>
      <c r="L568" s="159">
        <f t="shared" si="270"/>
        <v>0</v>
      </c>
      <c r="M568" s="159">
        <f t="shared" si="270"/>
        <v>0</v>
      </c>
      <c r="N568" s="159">
        <f t="shared" si="270"/>
        <v>0</v>
      </c>
      <c r="O568" s="159">
        <f t="shared" si="270"/>
        <v>0</v>
      </c>
      <c r="P568" s="159">
        <f t="shared" si="270"/>
        <v>0</v>
      </c>
      <c r="Q568" s="159">
        <f t="shared" si="270"/>
        <v>0</v>
      </c>
      <c r="R568" s="159">
        <f t="shared" si="270"/>
        <v>0</v>
      </c>
      <c r="S568" s="159">
        <f t="shared" si="270"/>
        <v>0</v>
      </c>
      <c r="T568" s="159">
        <f t="shared" si="270"/>
        <v>0</v>
      </c>
      <c r="U568" s="159">
        <f t="shared" si="270"/>
        <v>0</v>
      </c>
      <c r="V568" s="159">
        <f t="shared" si="270"/>
        <v>0</v>
      </c>
      <c r="W568" s="159">
        <f t="shared" si="270"/>
        <v>0</v>
      </c>
      <c r="X568" s="159">
        <f t="shared" si="270"/>
        <v>0</v>
      </c>
      <c r="Y568" s="159">
        <f t="shared" si="270"/>
        <v>0</v>
      </c>
      <c r="Z568" s="159">
        <f t="shared" si="270"/>
        <v>0</v>
      </c>
      <c r="AA568" s="159">
        <f t="shared" si="270"/>
        <v>0</v>
      </c>
      <c r="AB568" s="159">
        <f t="shared" si="270"/>
        <v>0</v>
      </c>
      <c r="AC568" s="159">
        <f t="shared" si="270"/>
        <v>0</v>
      </c>
      <c r="AD568" s="159">
        <f t="shared" si="270"/>
        <v>0</v>
      </c>
      <c r="AE568" s="159">
        <f t="shared" si="270"/>
        <v>0</v>
      </c>
      <c r="AF568" s="159">
        <f t="shared" si="270"/>
        <v>0</v>
      </c>
      <c r="AG568" s="159">
        <f t="shared" si="270"/>
        <v>0</v>
      </c>
      <c r="AH568" s="159">
        <f t="shared" si="270"/>
        <v>0</v>
      </c>
      <c r="AI568" s="159">
        <f t="shared" si="270"/>
        <v>0</v>
      </c>
      <c r="AJ568" s="159">
        <f t="shared" si="270"/>
        <v>0</v>
      </c>
      <c r="AK568" s="159">
        <f t="shared" si="270"/>
        <v>0</v>
      </c>
      <c r="AL568" s="159">
        <f t="shared" si="270"/>
        <v>0</v>
      </c>
      <c r="AM568" s="159">
        <f t="shared" si="270"/>
        <v>0</v>
      </c>
      <c r="AN568" s="159">
        <f t="shared" si="270"/>
        <v>0</v>
      </c>
      <c r="AO568" s="159">
        <f t="shared" si="270"/>
        <v>0</v>
      </c>
      <c r="AP568" s="159">
        <f t="shared" si="270"/>
        <v>0</v>
      </c>
    </row>
    <row r="569" spans="1:42" x14ac:dyDescent="0.2">
      <c r="A569" s="4">
        <f>A568+1</f>
        <v>9</v>
      </c>
      <c r="C569" s="159">
        <f t="shared" ref="C569:AP569" si="271">C432</f>
        <v>0</v>
      </c>
      <c r="D569" s="159">
        <f t="shared" si="271"/>
        <v>0</v>
      </c>
      <c r="E569" s="159">
        <f t="shared" si="271"/>
        <v>0</v>
      </c>
      <c r="F569" s="159">
        <f t="shared" si="271"/>
        <v>0</v>
      </c>
      <c r="G569" s="159">
        <f t="shared" si="271"/>
        <v>0</v>
      </c>
      <c r="H569" s="159">
        <f t="shared" si="271"/>
        <v>0</v>
      </c>
      <c r="I569" s="159">
        <f t="shared" si="271"/>
        <v>0</v>
      </c>
      <c r="J569" s="159">
        <f t="shared" si="271"/>
        <v>0</v>
      </c>
      <c r="K569" s="159">
        <f t="shared" si="271"/>
        <v>0</v>
      </c>
      <c r="L569" s="159">
        <f t="shared" si="271"/>
        <v>0</v>
      </c>
      <c r="M569" s="159">
        <f t="shared" si="271"/>
        <v>0</v>
      </c>
      <c r="N569" s="159">
        <f t="shared" si="271"/>
        <v>0</v>
      </c>
      <c r="O569" s="159">
        <f t="shared" si="271"/>
        <v>0</v>
      </c>
      <c r="P569" s="159">
        <f t="shared" si="271"/>
        <v>0</v>
      </c>
      <c r="Q569" s="159">
        <f t="shared" si="271"/>
        <v>0</v>
      </c>
      <c r="R569" s="159">
        <f t="shared" si="271"/>
        <v>0</v>
      </c>
      <c r="S569" s="159">
        <f t="shared" si="271"/>
        <v>0</v>
      </c>
      <c r="T569" s="159">
        <f t="shared" si="271"/>
        <v>0</v>
      </c>
      <c r="U569" s="159">
        <f t="shared" si="271"/>
        <v>0</v>
      </c>
      <c r="V569" s="159">
        <f t="shared" si="271"/>
        <v>0</v>
      </c>
      <c r="W569" s="159">
        <f t="shared" si="271"/>
        <v>0</v>
      </c>
      <c r="X569" s="159">
        <f t="shared" si="271"/>
        <v>0</v>
      </c>
      <c r="Y569" s="159">
        <f t="shared" si="271"/>
        <v>0</v>
      </c>
      <c r="Z569" s="159">
        <f t="shared" si="271"/>
        <v>0</v>
      </c>
      <c r="AA569" s="159">
        <f t="shared" si="271"/>
        <v>0</v>
      </c>
      <c r="AB569" s="159">
        <f t="shared" si="271"/>
        <v>0</v>
      </c>
      <c r="AC569" s="159">
        <f t="shared" si="271"/>
        <v>0</v>
      </c>
      <c r="AD569" s="159">
        <f t="shared" si="271"/>
        <v>0</v>
      </c>
      <c r="AE569" s="159">
        <f t="shared" si="271"/>
        <v>0</v>
      </c>
      <c r="AF569" s="159">
        <f t="shared" si="271"/>
        <v>0</v>
      </c>
      <c r="AG569" s="159">
        <f t="shared" si="271"/>
        <v>0</v>
      </c>
      <c r="AH569" s="159">
        <f t="shared" si="271"/>
        <v>0</v>
      </c>
      <c r="AI569" s="159">
        <f t="shared" si="271"/>
        <v>0</v>
      </c>
      <c r="AJ569" s="159">
        <f t="shared" si="271"/>
        <v>0</v>
      </c>
      <c r="AK569" s="159">
        <f t="shared" si="271"/>
        <v>0</v>
      </c>
      <c r="AL569" s="159">
        <f t="shared" si="271"/>
        <v>0</v>
      </c>
      <c r="AM569" s="159">
        <f t="shared" si="271"/>
        <v>0</v>
      </c>
      <c r="AN569" s="159">
        <f t="shared" si="271"/>
        <v>0</v>
      </c>
      <c r="AO569" s="159">
        <f t="shared" si="271"/>
        <v>0</v>
      </c>
      <c r="AP569" s="159">
        <f t="shared" si="271"/>
        <v>0</v>
      </c>
    </row>
    <row r="570" spans="1:42" x14ac:dyDescent="0.2">
      <c r="A570" s="4">
        <f t="shared" ref="A570" si="272">A569+1</f>
        <v>10</v>
      </c>
      <c r="C570" s="159">
        <f t="shared" ref="C570:AP570" si="273">C433</f>
        <v>0</v>
      </c>
      <c r="D570" s="159">
        <f t="shared" si="273"/>
        <v>0</v>
      </c>
      <c r="E570" s="159">
        <f t="shared" si="273"/>
        <v>0</v>
      </c>
      <c r="F570" s="159">
        <f t="shared" si="273"/>
        <v>0</v>
      </c>
      <c r="G570" s="159">
        <f t="shared" si="273"/>
        <v>0</v>
      </c>
      <c r="H570" s="159">
        <f t="shared" si="273"/>
        <v>0</v>
      </c>
      <c r="I570" s="159">
        <f t="shared" si="273"/>
        <v>0</v>
      </c>
      <c r="J570" s="159">
        <f t="shared" si="273"/>
        <v>0</v>
      </c>
      <c r="K570" s="159">
        <f t="shared" si="273"/>
        <v>0</v>
      </c>
      <c r="L570" s="159">
        <f t="shared" si="273"/>
        <v>0</v>
      </c>
      <c r="M570" s="159">
        <f t="shared" si="273"/>
        <v>0</v>
      </c>
      <c r="N570" s="159">
        <f t="shared" si="273"/>
        <v>0</v>
      </c>
      <c r="O570" s="159">
        <f t="shared" si="273"/>
        <v>0</v>
      </c>
      <c r="P570" s="159">
        <f t="shared" si="273"/>
        <v>0</v>
      </c>
      <c r="Q570" s="159">
        <f t="shared" si="273"/>
        <v>0</v>
      </c>
      <c r="R570" s="159">
        <f t="shared" si="273"/>
        <v>0</v>
      </c>
      <c r="S570" s="159">
        <f t="shared" si="273"/>
        <v>0</v>
      </c>
      <c r="T570" s="159">
        <f t="shared" si="273"/>
        <v>0</v>
      </c>
      <c r="U570" s="159">
        <f t="shared" si="273"/>
        <v>0</v>
      </c>
      <c r="V570" s="159">
        <f t="shared" si="273"/>
        <v>0</v>
      </c>
      <c r="W570" s="159">
        <f t="shared" si="273"/>
        <v>0</v>
      </c>
      <c r="X570" s="159">
        <f t="shared" si="273"/>
        <v>0</v>
      </c>
      <c r="Y570" s="159">
        <f t="shared" si="273"/>
        <v>0</v>
      </c>
      <c r="Z570" s="159">
        <f t="shared" si="273"/>
        <v>0</v>
      </c>
      <c r="AA570" s="159">
        <f t="shared" si="273"/>
        <v>0</v>
      </c>
      <c r="AB570" s="159">
        <f t="shared" si="273"/>
        <v>0</v>
      </c>
      <c r="AC570" s="159">
        <f t="shared" si="273"/>
        <v>0</v>
      </c>
      <c r="AD570" s="159">
        <f t="shared" si="273"/>
        <v>0</v>
      </c>
      <c r="AE570" s="159">
        <f t="shared" si="273"/>
        <v>0</v>
      </c>
      <c r="AF570" s="159">
        <f t="shared" si="273"/>
        <v>0</v>
      </c>
      <c r="AG570" s="159">
        <f t="shared" si="273"/>
        <v>0</v>
      </c>
      <c r="AH570" s="159">
        <f t="shared" si="273"/>
        <v>0</v>
      </c>
      <c r="AI570" s="159">
        <f t="shared" si="273"/>
        <v>0</v>
      </c>
      <c r="AJ570" s="159">
        <f t="shared" si="273"/>
        <v>0</v>
      </c>
      <c r="AK570" s="159">
        <f t="shared" si="273"/>
        <v>0</v>
      </c>
      <c r="AL570" s="159">
        <f t="shared" si="273"/>
        <v>0</v>
      </c>
      <c r="AM570" s="159">
        <f t="shared" si="273"/>
        <v>0</v>
      </c>
      <c r="AN570" s="159">
        <f t="shared" si="273"/>
        <v>0</v>
      </c>
      <c r="AO570" s="159">
        <f t="shared" si="273"/>
        <v>0</v>
      </c>
      <c r="AP570" s="159">
        <f t="shared" si="273"/>
        <v>0</v>
      </c>
    </row>
    <row r="571" spans="1:42" x14ac:dyDescent="0.2">
      <c r="A571" s="22"/>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row>
    <row r="572" spans="1:42" x14ac:dyDescent="0.2">
      <c r="A572" s="22" t="s">
        <v>66</v>
      </c>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row>
    <row r="573" spans="1:42" x14ac:dyDescent="0.2">
      <c r="A573" s="4">
        <v>1</v>
      </c>
      <c r="B573" s="176">
        <f t="shared" ref="B573:B582" si="274">SUM(C573:AP573)</f>
        <v>0</v>
      </c>
      <c r="C573" s="178">
        <f t="shared" ref="C573:AP573" si="275">LOOKUP(C561,$B$504:$AP$504,$B$505:$AP$505)*$B744/100</f>
        <v>0</v>
      </c>
      <c r="D573" s="159">
        <f t="shared" si="275"/>
        <v>0</v>
      </c>
      <c r="E573" s="159">
        <f t="shared" si="275"/>
        <v>0</v>
      </c>
      <c r="F573" s="159">
        <f t="shared" si="275"/>
        <v>0</v>
      </c>
      <c r="G573" s="159">
        <f t="shared" si="275"/>
        <v>0</v>
      </c>
      <c r="H573" s="159">
        <f t="shared" si="275"/>
        <v>0</v>
      </c>
      <c r="I573" s="159">
        <f t="shared" si="275"/>
        <v>0</v>
      </c>
      <c r="J573" s="159">
        <f t="shared" si="275"/>
        <v>0</v>
      </c>
      <c r="K573" s="159">
        <f t="shared" si="275"/>
        <v>0</v>
      </c>
      <c r="L573" s="159">
        <f t="shared" si="275"/>
        <v>0</v>
      </c>
      <c r="M573" s="159">
        <f t="shared" si="275"/>
        <v>0</v>
      </c>
      <c r="N573" s="159">
        <f t="shared" si="275"/>
        <v>0</v>
      </c>
      <c r="O573" s="159">
        <f t="shared" si="275"/>
        <v>0</v>
      </c>
      <c r="P573" s="159">
        <f t="shared" si="275"/>
        <v>0</v>
      </c>
      <c r="Q573" s="159">
        <f t="shared" si="275"/>
        <v>0</v>
      </c>
      <c r="R573" s="159">
        <f t="shared" si="275"/>
        <v>0</v>
      </c>
      <c r="S573" s="159">
        <f t="shared" si="275"/>
        <v>0</v>
      </c>
      <c r="T573" s="159">
        <f t="shared" si="275"/>
        <v>0</v>
      </c>
      <c r="U573" s="159">
        <f t="shared" si="275"/>
        <v>0</v>
      </c>
      <c r="V573" s="159">
        <f t="shared" si="275"/>
        <v>0</v>
      </c>
      <c r="W573" s="159">
        <f t="shared" si="275"/>
        <v>0</v>
      </c>
      <c r="X573" s="159">
        <f t="shared" si="275"/>
        <v>0</v>
      </c>
      <c r="Y573" s="159">
        <f t="shared" si="275"/>
        <v>0</v>
      </c>
      <c r="Z573" s="159">
        <f t="shared" si="275"/>
        <v>0</v>
      </c>
      <c r="AA573" s="159">
        <f t="shared" si="275"/>
        <v>0</v>
      </c>
      <c r="AB573" s="159">
        <f t="shared" si="275"/>
        <v>0</v>
      </c>
      <c r="AC573" s="159">
        <f t="shared" si="275"/>
        <v>0</v>
      </c>
      <c r="AD573" s="159">
        <f t="shared" si="275"/>
        <v>0</v>
      </c>
      <c r="AE573" s="159">
        <f t="shared" si="275"/>
        <v>0</v>
      </c>
      <c r="AF573" s="159">
        <f t="shared" si="275"/>
        <v>0</v>
      </c>
      <c r="AG573" s="159">
        <f t="shared" si="275"/>
        <v>0</v>
      </c>
      <c r="AH573" s="159">
        <f t="shared" si="275"/>
        <v>0</v>
      </c>
      <c r="AI573" s="159">
        <f t="shared" si="275"/>
        <v>0</v>
      </c>
      <c r="AJ573" s="159">
        <f t="shared" si="275"/>
        <v>0</v>
      </c>
      <c r="AK573" s="159">
        <f t="shared" si="275"/>
        <v>0</v>
      </c>
      <c r="AL573" s="159">
        <f t="shared" si="275"/>
        <v>0</v>
      </c>
      <c r="AM573" s="159">
        <f t="shared" si="275"/>
        <v>0</v>
      </c>
      <c r="AN573" s="159">
        <f t="shared" si="275"/>
        <v>0</v>
      </c>
      <c r="AO573" s="159">
        <f t="shared" si="275"/>
        <v>0</v>
      </c>
      <c r="AP573" s="159">
        <f t="shared" si="275"/>
        <v>0</v>
      </c>
    </row>
    <row r="574" spans="1:42" x14ac:dyDescent="0.2">
      <c r="A574" s="4">
        <f>A573+1</f>
        <v>2</v>
      </c>
      <c r="B574" s="176">
        <f t="shared" si="274"/>
        <v>0</v>
      </c>
      <c r="C574" s="178">
        <f t="shared" ref="C574:AP574" si="276">LOOKUP(C562,$B$504:$AP$504,$B$505:$AP$505)*$B745/100</f>
        <v>0</v>
      </c>
      <c r="D574" s="159">
        <f t="shared" si="276"/>
        <v>0</v>
      </c>
      <c r="E574" s="159">
        <f t="shared" si="276"/>
        <v>0</v>
      </c>
      <c r="F574" s="159">
        <f t="shared" si="276"/>
        <v>0</v>
      </c>
      <c r="G574" s="159">
        <f t="shared" si="276"/>
        <v>0</v>
      </c>
      <c r="H574" s="159">
        <f t="shared" si="276"/>
        <v>0</v>
      </c>
      <c r="I574" s="159">
        <f t="shared" si="276"/>
        <v>0</v>
      </c>
      <c r="J574" s="159">
        <f t="shared" si="276"/>
        <v>0</v>
      </c>
      <c r="K574" s="159">
        <f t="shared" si="276"/>
        <v>0</v>
      </c>
      <c r="L574" s="159">
        <f t="shared" si="276"/>
        <v>0</v>
      </c>
      <c r="M574" s="159">
        <f t="shared" si="276"/>
        <v>0</v>
      </c>
      <c r="N574" s="159">
        <f t="shared" si="276"/>
        <v>0</v>
      </c>
      <c r="O574" s="159">
        <f t="shared" si="276"/>
        <v>0</v>
      </c>
      <c r="P574" s="159">
        <f t="shared" si="276"/>
        <v>0</v>
      </c>
      <c r="Q574" s="159">
        <f t="shared" si="276"/>
        <v>0</v>
      </c>
      <c r="R574" s="159">
        <f t="shared" si="276"/>
        <v>0</v>
      </c>
      <c r="S574" s="159">
        <f t="shared" si="276"/>
        <v>0</v>
      </c>
      <c r="T574" s="159">
        <f t="shared" si="276"/>
        <v>0</v>
      </c>
      <c r="U574" s="159">
        <f t="shared" si="276"/>
        <v>0</v>
      </c>
      <c r="V574" s="159">
        <f t="shared" si="276"/>
        <v>0</v>
      </c>
      <c r="W574" s="159">
        <f t="shared" si="276"/>
        <v>0</v>
      </c>
      <c r="X574" s="159">
        <f t="shared" si="276"/>
        <v>0</v>
      </c>
      <c r="Y574" s="159">
        <f t="shared" si="276"/>
        <v>0</v>
      </c>
      <c r="Z574" s="159">
        <f t="shared" si="276"/>
        <v>0</v>
      </c>
      <c r="AA574" s="159">
        <f t="shared" si="276"/>
        <v>0</v>
      </c>
      <c r="AB574" s="159">
        <f t="shared" si="276"/>
        <v>0</v>
      </c>
      <c r="AC574" s="159">
        <f t="shared" si="276"/>
        <v>0</v>
      </c>
      <c r="AD574" s="159">
        <f t="shared" si="276"/>
        <v>0</v>
      </c>
      <c r="AE574" s="159">
        <f t="shared" si="276"/>
        <v>0</v>
      </c>
      <c r="AF574" s="159">
        <f t="shared" si="276"/>
        <v>0</v>
      </c>
      <c r="AG574" s="159">
        <f t="shared" si="276"/>
        <v>0</v>
      </c>
      <c r="AH574" s="159">
        <f t="shared" si="276"/>
        <v>0</v>
      </c>
      <c r="AI574" s="159">
        <f t="shared" si="276"/>
        <v>0</v>
      </c>
      <c r="AJ574" s="159">
        <f t="shared" si="276"/>
        <v>0</v>
      </c>
      <c r="AK574" s="159">
        <f t="shared" si="276"/>
        <v>0</v>
      </c>
      <c r="AL574" s="159">
        <f t="shared" si="276"/>
        <v>0</v>
      </c>
      <c r="AM574" s="159">
        <f t="shared" si="276"/>
        <v>0</v>
      </c>
      <c r="AN574" s="159">
        <f t="shared" si="276"/>
        <v>0</v>
      </c>
      <c r="AO574" s="159">
        <f t="shared" si="276"/>
        <v>0</v>
      </c>
      <c r="AP574" s="159">
        <f t="shared" si="276"/>
        <v>0</v>
      </c>
    </row>
    <row r="575" spans="1:42" x14ac:dyDescent="0.2">
      <c r="A575" s="4">
        <f t="shared" ref="A575:A580" si="277">A574+1</f>
        <v>3</v>
      </c>
      <c r="B575" s="176">
        <f t="shared" si="274"/>
        <v>0</v>
      </c>
      <c r="C575" s="178">
        <f t="shared" ref="C575:AP575" si="278">LOOKUP(C563,$B$504:$AP$504,$B$505:$AP$505)*$B746/100</f>
        <v>0</v>
      </c>
      <c r="D575" s="159">
        <f t="shared" si="278"/>
        <v>0</v>
      </c>
      <c r="E575" s="159">
        <f t="shared" si="278"/>
        <v>0</v>
      </c>
      <c r="F575" s="159">
        <f t="shared" si="278"/>
        <v>0</v>
      </c>
      <c r="G575" s="159">
        <f t="shared" si="278"/>
        <v>0</v>
      </c>
      <c r="H575" s="159">
        <f t="shared" si="278"/>
        <v>0</v>
      </c>
      <c r="I575" s="159">
        <f t="shared" si="278"/>
        <v>0</v>
      </c>
      <c r="J575" s="159">
        <f t="shared" si="278"/>
        <v>0</v>
      </c>
      <c r="K575" s="159">
        <f t="shared" si="278"/>
        <v>0</v>
      </c>
      <c r="L575" s="159">
        <f t="shared" si="278"/>
        <v>0</v>
      </c>
      <c r="M575" s="159">
        <f t="shared" si="278"/>
        <v>0</v>
      </c>
      <c r="N575" s="159">
        <f t="shared" si="278"/>
        <v>0</v>
      </c>
      <c r="O575" s="159">
        <f t="shared" si="278"/>
        <v>0</v>
      </c>
      <c r="P575" s="159">
        <f t="shared" si="278"/>
        <v>0</v>
      </c>
      <c r="Q575" s="159">
        <f t="shared" si="278"/>
        <v>0</v>
      </c>
      <c r="R575" s="159">
        <f t="shared" si="278"/>
        <v>0</v>
      </c>
      <c r="S575" s="159">
        <f t="shared" si="278"/>
        <v>0</v>
      </c>
      <c r="T575" s="159">
        <f t="shared" si="278"/>
        <v>0</v>
      </c>
      <c r="U575" s="159">
        <f t="shared" si="278"/>
        <v>0</v>
      </c>
      <c r="V575" s="159">
        <f t="shared" si="278"/>
        <v>0</v>
      </c>
      <c r="W575" s="159">
        <f t="shared" si="278"/>
        <v>0</v>
      </c>
      <c r="X575" s="159">
        <f t="shared" si="278"/>
        <v>0</v>
      </c>
      <c r="Y575" s="159">
        <f t="shared" si="278"/>
        <v>0</v>
      </c>
      <c r="Z575" s="159">
        <f t="shared" si="278"/>
        <v>0</v>
      </c>
      <c r="AA575" s="159">
        <f t="shared" si="278"/>
        <v>0</v>
      </c>
      <c r="AB575" s="159">
        <f t="shared" si="278"/>
        <v>0</v>
      </c>
      <c r="AC575" s="159">
        <f t="shared" si="278"/>
        <v>0</v>
      </c>
      <c r="AD575" s="159">
        <f t="shared" si="278"/>
        <v>0</v>
      </c>
      <c r="AE575" s="159">
        <f t="shared" si="278"/>
        <v>0</v>
      </c>
      <c r="AF575" s="159">
        <f t="shared" si="278"/>
        <v>0</v>
      </c>
      <c r="AG575" s="159">
        <f t="shared" si="278"/>
        <v>0</v>
      </c>
      <c r="AH575" s="159">
        <f t="shared" si="278"/>
        <v>0</v>
      </c>
      <c r="AI575" s="159">
        <f t="shared" si="278"/>
        <v>0</v>
      </c>
      <c r="AJ575" s="159">
        <f t="shared" si="278"/>
        <v>0</v>
      </c>
      <c r="AK575" s="159">
        <f t="shared" si="278"/>
        <v>0</v>
      </c>
      <c r="AL575" s="159">
        <f t="shared" si="278"/>
        <v>0</v>
      </c>
      <c r="AM575" s="159">
        <f t="shared" si="278"/>
        <v>0</v>
      </c>
      <c r="AN575" s="159">
        <f t="shared" si="278"/>
        <v>0</v>
      </c>
      <c r="AO575" s="159">
        <f t="shared" si="278"/>
        <v>0</v>
      </c>
      <c r="AP575" s="159">
        <f t="shared" si="278"/>
        <v>0</v>
      </c>
    </row>
    <row r="576" spans="1:42" x14ac:dyDescent="0.2">
      <c r="A576" s="4">
        <f t="shared" si="277"/>
        <v>4</v>
      </c>
      <c r="B576" s="176">
        <f t="shared" si="274"/>
        <v>0</v>
      </c>
      <c r="C576" s="178">
        <f t="shared" ref="C576:AP576" si="279">LOOKUP(C564,$B$504:$AP$504,$B$505:$AP$505)*$B747/100</f>
        <v>0</v>
      </c>
      <c r="D576" s="159">
        <f t="shared" si="279"/>
        <v>0</v>
      </c>
      <c r="E576" s="159">
        <f t="shared" si="279"/>
        <v>0</v>
      </c>
      <c r="F576" s="159">
        <f t="shared" si="279"/>
        <v>0</v>
      </c>
      <c r="G576" s="159">
        <f t="shared" si="279"/>
        <v>0</v>
      </c>
      <c r="H576" s="159">
        <f t="shared" si="279"/>
        <v>0</v>
      </c>
      <c r="I576" s="159">
        <f t="shared" si="279"/>
        <v>0</v>
      </c>
      <c r="J576" s="159">
        <f t="shared" si="279"/>
        <v>0</v>
      </c>
      <c r="K576" s="159">
        <f t="shared" si="279"/>
        <v>0</v>
      </c>
      <c r="L576" s="159">
        <f t="shared" si="279"/>
        <v>0</v>
      </c>
      <c r="M576" s="159">
        <f t="shared" si="279"/>
        <v>0</v>
      </c>
      <c r="N576" s="159">
        <f t="shared" si="279"/>
        <v>0</v>
      </c>
      <c r="O576" s="159">
        <f t="shared" si="279"/>
        <v>0</v>
      </c>
      <c r="P576" s="159">
        <f t="shared" si="279"/>
        <v>0</v>
      </c>
      <c r="Q576" s="159">
        <f t="shared" si="279"/>
        <v>0</v>
      </c>
      <c r="R576" s="159">
        <f t="shared" si="279"/>
        <v>0</v>
      </c>
      <c r="S576" s="159">
        <f t="shared" si="279"/>
        <v>0</v>
      </c>
      <c r="T576" s="159">
        <f t="shared" si="279"/>
        <v>0</v>
      </c>
      <c r="U576" s="159">
        <f t="shared" si="279"/>
        <v>0</v>
      </c>
      <c r="V576" s="159">
        <f t="shared" si="279"/>
        <v>0</v>
      </c>
      <c r="W576" s="159">
        <f t="shared" si="279"/>
        <v>0</v>
      </c>
      <c r="X576" s="159">
        <f t="shared" si="279"/>
        <v>0</v>
      </c>
      <c r="Y576" s="159">
        <f t="shared" si="279"/>
        <v>0</v>
      </c>
      <c r="Z576" s="159">
        <f t="shared" si="279"/>
        <v>0</v>
      </c>
      <c r="AA576" s="159">
        <f t="shared" si="279"/>
        <v>0</v>
      </c>
      <c r="AB576" s="159">
        <f t="shared" si="279"/>
        <v>0</v>
      </c>
      <c r="AC576" s="159">
        <f t="shared" si="279"/>
        <v>0</v>
      </c>
      <c r="AD576" s="159">
        <f t="shared" si="279"/>
        <v>0</v>
      </c>
      <c r="AE576" s="159">
        <f t="shared" si="279"/>
        <v>0</v>
      </c>
      <c r="AF576" s="159">
        <f t="shared" si="279"/>
        <v>0</v>
      </c>
      <c r="AG576" s="159">
        <f t="shared" si="279"/>
        <v>0</v>
      </c>
      <c r="AH576" s="159">
        <f t="shared" si="279"/>
        <v>0</v>
      </c>
      <c r="AI576" s="159">
        <f t="shared" si="279"/>
        <v>0</v>
      </c>
      <c r="AJ576" s="159">
        <f t="shared" si="279"/>
        <v>0</v>
      </c>
      <c r="AK576" s="159">
        <f t="shared" si="279"/>
        <v>0</v>
      </c>
      <c r="AL576" s="159">
        <f t="shared" si="279"/>
        <v>0</v>
      </c>
      <c r="AM576" s="159">
        <f t="shared" si="279"/>
        <v>0</v>
      </c>
      <c r="AN576" s="159">
        <f t="shared" si="279"/>
        <v>0</v>
      </c>
      <c r="AO576" s="159">
        <f t="shared" si="279"/>
        <v>0</v>
      </c>
      <c r="AP576" s="159">
        <f t="shared" si="279"/>
        <v>0</v>
      </c>
    </row>
    <row r="577" spans="1:42" x14ac:dyDescent="0.2">
      <c r="A577" s="4">
        <f t="shared" si="277"/>
        <v>5</v>
      </c>
      <c r="B577" s="176">
        <f t="shared" si="274"/>
        <v>0</v>
      </c>
      <c r="C577" s="178">
        <f t="shared" ref="C577:AP577" si="280">LOOKUP(C565,$B$504:$AP$504,$B$505:$AP$505)*$B748/100</f>
        <v>0</v>
      </c>
      <c r="D577" s="159">
        <f t="shared" si="280"/>
        <v>0</v>
      </c>
      <c r="E577" s="159">
        <f t="shared" si="280"/>
        <v>0</v>
      </c>
      <c r="F577" s="159">
        <f t="shared" si="280"/>
        <v>0</v>
      </c>
      <c r="G577" s="159">
        <f t="shared" si="280"/>
        <v>0</v>
      </c>
      <c r="H577" s="159">
        <f t="shared" si="280"/>
        <v>0</v>
      </c>
      <c r="I577" s="159">
        <f t="shared" si="280"/>
        <v>0</v>
      </c>
      <c r="J577" s="159">
        <f t="shared" si="280"/>
        <v>0</v>
      </c>
      <c r="K577" s="159">
        <f t="shared" si="280"/>
        <v>0</v>
      </c>
      <c r="L577" s="159">
        <f t="shared" si="280"/>
        <v>0</v>
      </c>
      <c r="M577" s="159">
        <f t="shared" si="280"/>
        <v>0</v>
      </c>
      <c r="N577" s="159">
        <f t="shared" si="280"/>
        <v>0</v>
      </c>
      <c r="O577" s="159">
        <f t="shared" si="280"/>
        <v>0</v>
      </c>
      <c r="P577" s="159">
        <f t="shared" si="280"/>
        <v>0</v>
      </c>
      <c r="Q577" s="159">
        <f t="shared" si="280"/>
        <v>0</v>
      </c>
      <c r="R577" s="159">
        <f t="shared" si="280"/>
        <v>0</v>
      </c>
      <c r="S577" s="159">
        <f t="shared" si="280"/>
        <v>0</v>
      </c>
      <c r="T577" s="159">
        <f t="shared" si="280"/>
        <v>0</v>
      </c>
      <c r="U577" s="159">
        <f t="shared" si="280"/>
        <v>0</v>
      </c>
      <c r="V577" s="159">
        <f t="shared" si="280"/>
        <v>0</v>
      </c>
      <c r="W577" s="159">
        <f t="shared" si="280"/>
        <v>0</v>
      </c>
      <c r="X577" s="159">
        <f t="shared" si="280"/>
        <v>0</v>
      </c>
      <c r="Y577" s="159">
        <f t="shared" si="280"/>
        <v>0</v>
      </c>
      <c r="Z577" s="159">
        <f t="shared" si="280"/>
        <v>0</v>
      </c>
      <c r="AA577" s="159">
        <f t="shared" si="280"/>
        <v>0</v>
      </c>
      <c r="AB577" s="159">
        <f t="shared" si="280"/>
        <v>0</v>
      </c>
      <c r="AC577" s="159">
        <f t="shared" si="280"/>
        <v>0</v>
      </c>
      <c r="AD577" s="159">
        <f t="shared" si="280"/>
        <v>0</v>
      </c>
      <c r="AE577" s="159">
        <f t="shared" si="280"/>
        <v>0</v>
      </c>
      <c r="AF577" s="159">
        <f t="shared" si="280"/>
        <v>0</v>
      </c>
      <c r="AG577" s="159">
        <f t="shared" si="280"/>
        <v>0</v>
      </c>
      <c r="AH577" s="159">
        <f t="shared" si="280"/>
        <v>0</v>
      </c>
      <c r="AI577" s="159">
        <f t="shared" si="280"/>
        <v>0</v>
      </c>
      <c r="AJ577" s="159">
        <f t="shared" si="280"/>
        <v>0</v>
      </c>
      <c r="AK577" s="159">
        <f t="shared" si="280"/>
        <v>0</v>
      </c>
      <c r="AL577" s="159">
        <f t="shared" si="280"/>
        <v>0</v>
      </c>
      <c r="AM577" s="159">
        <f t="shared" si="280"/>
        <v>0</v>
      </c>
      <c r="AN577" s="159">
        <f t="shared" si="280"/>
        <v>0</v>
      </c>
      <c r="AO577" s="159">
        <f t="shared" si="280"/>
        <v>0</v>
      </c>
      <c r="AP577" s="159">
        <f t="shared" si="280"/>
        <v>0</v>
      </c>
    </row>
    <row r="578" spans="1:42" x14ac:dyDescent="0.2">
      <c r="A578" s="4">
        <f t="shared" si="277"/>
        <v>6</v>
      </c>
      <c r="B578" s="176">
        <f t="shared" si="274"/>
        <v>0</v>
      </c>
      <c r="C578" s="178">
        <f t="shared" ref="C578:AP578" si="281">LOOKUP(C566,$B$504:$AP$504,$B$505:$AP$505)*$B749/100</f>
        <v>0</v>
      </c>
      <c r="D578" s="159">
        <f t="shared" si="281"/>
        <v>0</v>
      </c>
      <c r="E578" s="159">
        <f t="shared" si="281"/>
        <v>0</v>
      </c>
      <c r="F578" s="159">
        <f t="shared" si="281"/>
        <v>0</v>
      </c>
      <c r="G578" s="159">
        <f t="shared" si="281"/>
        <v>0</v>
      </c>
      <c r="H578" s="159">
        <f t="shared" si="281"/>
        <v>0</v>
      </c>
      <c r="I578" s="159">
        <f t="shared" si="281"/>
        <v>0</v>
      </c>
      <c r="J578" s="159">
        <f t="shared" si="281"/>
        <v>0</v>
      </c>
      <c r="K578" s="159">
        <f t="shared" si="281"/>
        <v>0</v>
      </c>
      <c r="L578" s="159">
        <f t="shared" si="281"/>
        <v>0</v>
      </c>
      <c r="M578" s="159">
        <f t="shared" si="281"/>
        <v>0</v>
      </c>
      <c r="N578" s="159">
        <f t="shared" si="281"/>
        <v>0</v>
      </c>
      <c r="O578" s="159">
        <f t="shared" si="281"/>
        <v>0</v>
      </c>
      <c r="P578" s="159">
        <f t="shared" si="281"/>
        <v>0</v>
      </c>
      <c r="Q578" s="159">
        <f t="shared" si="281"/>
        <v>0</v>
      </c>
      <c r="R578" s="159">
        <f t="shared" si="281"/>
        <v>0</v>
      </c>
      <c r="S578" s="159">
        <f t="shared" si="281"/>
        <v>0</v>
      </c>
      <c r="T578" s="159">
        <f t="shared" si="281"/>
        <v>0</v>
      </c>
      <c r="U578" s="159">
        <f t="shared" si="281"/>
        <v>0</v>
      </c>
      <c r="V578" s="159">
        <f t="shared" si="281"/>
        <v>0</v>
      </c>
      <c r="W578" s="159">
        <f t="shared" si="281"/>
        <v>0</v>
      </c>
      <c r="X578" s="159">
        <f t="shared" si="281"/>
        <v>0</v>
      </c>
      <c r="Y578" s="159">
        <f t="shared" si="281"/>
        <v>0</v>
      </c>
      <c r="Z578" s="159">
        <f t="shared" si="281"/>
        <v>0</v>
      </c>
      <c r="AA578" s="159">
        <f t="shared" si="281"/>
        <v>0</v>
      </c>
      <c r="AB578" s="159">
        <f t="shared" si="281"/>
        <v>0</v>
      </c>
      <c r="AC578" s="159">
        <f t="shared" si="281"/>
        <v>0</v>
      </c>
      <c r="AD578" s="159">
        <f t="shared" si="281"/>
        <v>0</v>
      </c>
      <c r="AE578" s="159">
        <f t="shared" si="281"/>
        <v>0</v>
      </c>
      <c r="AF578" s="159">
        <f t="shared" si="281"/>
        <v>0</v>
      </c>
      <c r="AG578" s="159">
        <f t="shared" si="281"/>
        <v>0</v>
      </c>
      <c r="AH578" s="159">
        <f t="shared" si="281"/>
        <v>0</v>
      </c>
      <c r="AI578" s="159">
        <f t="shared" si="281"/>
        <v>0</v>
      </c>
      <c r="AJ578" s="159">
        <f t="shared" si="281"/>
        <v>0</v>
      </c>
      <c r="AK578" s="159">
        <f t="shared" si="281"/>
        <v>0</v>
      </c>
      <c r="AL578" s="159">
        <f t="shared" si="281"/>
        <v>0</v>
      </c>
      <c r="AM578" s="159">
        <f t="shared" si="281"/>
        <v>0</v>
      </c>
      <c r="AN578" s="159">
        <f t="shared" si="281"/>
        <v>0</v>
      </c>
      <c r="AO578" s="159">
        <f t="shared" si="281"/>
        <v>0</v>
      </c>
      <c r="AP578" s="159">
        <f t="shared" si="281"/>
        <v>0</v>
      </c>
    </row>
    <row r="579" spans="1:42" x14ac:dyDescent="0.2">
      <c r="A579" s="4">
        <f t="shared" si="277"/>
        <v>7</v>
      </c>
      <c r="B579" s="176">
        <f t="shared" si="274"/>
        <v>0</v>
      </c>
      <c r="C579" s="178">
        <f t="shared" ref="C579:AP579" si="282">LOOKUP(C567,$B$504:$AP$504,$B$505:$AP$505)*$B750/100</f>
        <v>0</v>
      </c>
      <c r="D579" s="159">
        <f t="shared" si="282"/>
        <v>0</v>
      </c>
      <c r="E579" s="159">
        <f t="shared" si="282"/>
        <v>0</v>
      </c>
      <c r="F579" s="159">
        <f t="shared" si="282"/>
        <v>0</v>
      </c>
      <c r="G579" s="159">
        <f t="shared" si="282"/>
        <v>0</v>
      </c>
      <c r="H579" s="159">
        <f t="shared" si="282"/>
        <v>0</v>
      </c>
      <c r="I579" s="159">
        <f t="shared" si="282"/>
        <v>0</v>
      </c>
      <c r="J579" s="159">
        <f t="shared" si="282"/>
        <v>0</v>
      </c>
      <c r="K579" s="159">
        <f t="shared" si="282"/>
        <v>0</v>
      </c>
      <c r="L579" s="159">
        <f t="shared" si="282"/>
        <v>0</v>
      </c>
      <c r="M579" s="159">
        <f t="shared" si="282"/>
        <v>0</v>
      </c>
      <c r="N579" s="159">
        <f t="shared" si="282"/>
        <v>0</v>
      </c>
      <c r="O579" s="159">
        <f t="shared" si="282"/>
        <v>0</v>
      </c>
      <c r="P579" s="159">
        <f t="shared" si="282"/>
        <v>0</v>
      </c>
      <c r="Q579" s="159">
        <f t="shared" si="282"/>
        <v>0</v>
      </c>
      <c r="R579" s="159">
        <f t="shared" si="282"/>
        <v>0</v>
      </c>
      <c r="S579" s="159">
        <f t="shared" si="282"/>
        <v>0</v>
      </c>
      <c r="T579" s="159">
        <f t="shared" si="282"/>
        <v>0</v>
      </c>
      <c r="U579" s="159">
        <f t="shared" si="282"/>
        <v>0</v>
      </c>
      <c r="V579" s="159">
        <f t="shared" si="282"/>
        <v>0</v>
      </c>
      <c r="W579" s="159">
        <f t="shared" si="282"/>
        <v>0</v>
      </c>
      <c r="X579" s="159">
        <f t="shared" si="282"/>
        <v>0</v>
      </c>
      <c r="Y579" s="159">
        <f t="shared" si="282"/>
        <v>0</v>
      </c>
      <c r="Z579" s="159">
        <f t="shared" si="282"/>
        <v>0</v>
      </c>
      <c r="AA579" s="159">
        <f t="shared" si="282"/>
        <v>0</v>
      </c>
      <c r="AB579" s="159">
        <f t="shared" si="282"/>
        <v>0</v>
      </c>
      <c r="AC579" s="159">
        <f t="shared" si="282"/>
        <v>0</v>
      </c>
      <c r="AD579" s="159">
        <f t="shared" si="282"/>
        <v>0</v>
      </c>
      <c r="AE579" s="159">
        <f t="shared" si="282"/>
        <v>0</v>
      </c>
      <c r="AF579" s="159">
        <f t="shared" si="282"/>
        <v>0</v>
      </c>
      <c r="AG579" s="159">
        <f t="shared" si="282"/>
        <v>0</v>
      </c>
      <c r="AH579" s="159">
        <f t="shared" si="282"/>
        <v>0</v>
      </c>
      <c r="AI579" s="159">
        <f t="shared" si="282"/>
        <v>0</v>
      </c>
      <c r="AJ579" s="159">
        <f t="shared" si="282"/>
        <v>0</v>
      </c>
      <c r="AK579" s="159">
        <f t="shared" si="282"/>
        <v>0</v>
      </c>
      <c r="AL579" s="159">
        <f t="shared" si="282"/>
        <v>0</v>
      </c>
      <c r="AM579" s="159">
        <f t="shared" si="282"/>
        <v>0</v>
      </c>
      <c r="AN579" s="159">
        <f t="shared" si="282"/>
        <v>0</v>
      </c>
      <c r="AO579" s="159">
        <f t="shared" si="282"/>
        <v>0</v>
      </c>
      <c r="AP579" s="159">
        <f t="shared" si="282"/>
        <v>0</v>
      </c>
    </row>
    <row r="580" spans="1:42" x14ac:dyDescent="0.2">
      <c r="A580" s="4">
        <f t="shared" si="277"/>
        <v>8</v>
      </c>
      <c r="B580" s="176">
        <f t="shared" si="274"/>
        <v>0</v>
      </c>
      <c r="C580" s="178">
        <f t="shared" ref="C580:AP580" si="283">LOOKUP(C568,$B$504:$AP$504,$B$505:$AP$505)*$B751/100</f>
        <v>0</v>
      </c>
      <c r="D580" s="159">
        <f t="shared" si="283"/>
        <v>0</v>
      </c>
      <c r="E580" s="159">
        <f t="shared" si="283"/>
        <v>0</v>
      </c>
      <c r="F580" s="159">
        <f t="shared" si="283"/>
        <v>0</v>
      </c>
      <c r="G580" s="159">
        <f t="shared" si="283"/>
        <v>0</v>
      </c>
      <c r="H580" s="159">
        <f t="shared" si="283"/>
        <v>0</v>
      </c>
      <c r="I580" s="159">
        <f t="shared" si="283"/>
        <v>0</v>
      </c>
      <c r="J580" s="159">
        <f t="shared" si="283"/>
        <v>0</v>
      </c>
      <c r="K580" s="159">
        <f t="shared" si="283"/>
        <v>0</v>
      </c>
      <c r="L580" s="159">
        <f t="shared" si="283"/>
        <v>0</v>
      </c>
      <c r="M580" s="159">
        <f t="shared" si="283"/>
        <v>0</v>
      </c>
      <c r="N580" s="159">
        <f t="shared" si="283"/>
        <v>0</v>
      </c>
      <c r="O580" s="159">
        <f t="shared" si="283"/>
        <v>0</v>
      </c>
      <c r="P580" s="159">
        <f t="shared" si="283"/>
        <v>0</v>
      </c>
      <c r="Q580" s="159">
        <f t="shared" si="283"/>
        <v>0</v>
      </c>
      <c r="R580" s="159">
        <f t="shared" si="283"/>
        <v>0</v>
      </c>
      <c r="S580" s="159">
        <f t="shared" si="283"/>
        <v>0</v>
      </c>
      <c r="T580" s="159">
        <f t="shared" si="283"/>
        <v>0</v>
      </c>
      <c r="U580" s="159">
        <f t="shared" si="283"/>
        <v>0</v>
      </c>
      <c r="V580" s="159">
        <f t="shared" si="283"/>
        <v>0</v>
      </c>
      <c r="W580" s="159">
        <f t="shared" si="283"/>
        <v>0</v>
      </c>
      <c r="X580" s="159">
        <f t="shared" si="283"/>
        <v>0</v>
      </c>
      <c r="Y580" s="159">
        <f t="shared" si="283"/>
        <v>0</v>
      </c>
      <c r="Z580" s="159">
        <f t="shared" si="283"/>
        <v>0</v>
      </c>
      <c r="AA580" s="159">
        <f t="shared" si="283"/>
        <v>0</v>
      </c>
      <c r="AB580" s="159">
        <f t="shared" si="283"/>
        <v>0</v>
      </c>
      <c r="AC580" s="159">
        <f t="shared" si="283"/>
        <v>0</v>
      </c>
      <c r="AD580" s="159">
        <f t="shared" si="283"/>
        <v>0</v>
      </c>
      <c r="AE580" s="159">
        <f t="shared" si="283"/>
        <v>0</v>
      </c>
      <c r="AF580" s="159">
        <f t="shared" si="283"/>
        <v>0</v>
      </c>
      <c r="AG580" s="159">
        <f t="shared" si="283"/>
        <v>0</v>
      </c>
      <c r="AH580" s="159">
        <f t="shared" si="283"/>
        <v>0</v>
      </c>
      <c r="AI580" s="159">
        <f t="shared" si="283"/>
        <v>0</v>
      </c>
      <c r="AJ580" s="159">
        <f t="shared" si="283"/>
        <v>0</v>
      </c>
      <c r="AK580" s="159">
        <f t="shared" si="283"/>
        <v>0</v>
      </c>
      <c r="AL580" s="159">
        <f t="shared" si="283"/>
        <v>0</v>
      </c>
      <c r="AM580" s="159">
        <f t="shared" si="283"/>
        <v>0</v>
      </c>
      <c r="AN580" s="159">
        <f t="shared" si="283"/>
        <v>0</v>
      </c>
      <c r="AO580" s="159">
        <f t="shared" si="283"/>
        <v>0</v>
      </c>
      <c r="AP580" s="159">
        <f t="shared" si="283"/>
        <v>0</v>
      </c>
    </row>
    <row r="581" spans="1:42" x14ac:dyDescent="0.2">
      <c r="A581" s="4">
        <f>A580+1</f>
        <v>9</v>
      </c>
      <c r="B581" s="176">
        <f t="shared" si="274"/>
        <v>0</v>
      </c>
      <c r="C581" s="178">
        <f t="shared" ref="C581:AP581" si="284">LOOKUP(C569,$B$504:$AP$504,$B$505:$AP$505)*$B752/100</f>
        <v>0</v>
      </c>
      <c r="D581" s="159">
        <f t="shared" si="284"/>
        <v>0</v>
      </c>
      <c r="E581" s="159">
        <f t="shared" si="284"/>
        <v>0</v>
      </c>
      <c r="F581" s="159">
        <f t="shared" si="284"/>
        <v>0</v>
      </c>
      <c r="G581" s="159">
        <f t="shared" si="284"/>
        <v>0</v>
      </c>
      <c r="H581" s="159">
        <f t="shared" si="284"/>
        <v>0</v>
      </c>
      <c r="I581" s="159">
        <f t="shared" si="284"/>
        <v>0</v>
      </c>
      <c r="J581" s="159">
        <f t="shared" si="284"/>
        <v>0</v>
      </c>
      <c r="K581" s="159">
        <f t="shared" si="284"/>
        <v>0</v>
      </c>
      <c r="L581" s="159">
        <f t="shared" si="284"/>
        <v>0</v>
      </c>
      <c r="M581" s="159">
        <f t="shared" si="284"/>
        <v>0</v>
      </c>
      <c r="N581" s="159">
        <f t="shared" si="284"/>
        <v>0</v>
      </c>
      <c r="O581" s="159">
        <f t="shared" si="284"/>
        <v>0</v>
      </c>
      <c r="P581" s="159">
        <f t="shared" si="284"/>
        <v>0</v>
      </c>
      <c r="Q581" s="159">
        <f t="shared" si="284"/>
        <v>0</v>
      </c>
      <c r="R581" s="159">
        <f t="shared" si="284"/>
        <v>0</v>
      </c>
      <c r="S581" s="159">
        <f t="shared" si="284"/>
        <v>0</v>
      </c>
      <c r="T581" s="159">
        <f t="shared" si="284"/>
        <v>0</v>
      </c>
      <c r="U581" s="159">
        <f t="shared" si="284"/>
        <v>0</v>
      </c>
      <c r="V581" s="159">
        <f t="shared" si="284"/>
        <v>0</v>
      </c>
      <c r="W581" s="159">
        <f t="shared" si="284"/>
        <v>0</v>
      </c>
      <c r="X581" s="159">
        <f t="shared" si="284"/>
        <v>0</v>
      </c>
      <c r="Y581" s="159">
        <f t="shared" si="284"/>
        <v>0</v>
      </c>
      <c r="Z581" s="159">
        <f t="shared" si="284"/>
        <v>0</v>
      </c>
      <c r="AA581" s="159">
        <f t="shared" si="284"/>
        <v>0</v>
      </c>
      <c r="AB581" s="159">
        <f t="shared" si="284"/>
        <v>0</v>
      </c>
      <c r="AC581" s="159">
        <f t="shared" si="284"/>
        <v>0</v>
      </c>
      <c r="AD581" s="159">
        <f t="shared" si="284"/>
        <v>0</v>
      </c>
      <c r="AE581" s="159">
        <f t="shared" si="284"/>
        <v>0</v>
      </c>
      <c r="AF581" s="159">
        <f t="shared" si="284"/>
        <v>0</v>
      </c>
      <c r="AG581" s="159">
        <f t="shared" si="284"/>
        <v>0</v>
      </c>
      <c r="AH581" s="159">
        <f t="shared" si="284"/>
        <v>0</v>
      </c>
      <c r="AI581" s="159">
        <f t="shared" si="284"/>
        <v>0</v>
      </c>
      <c r="AJ581" s="159">
        <f t="shared" si="284"/>
        <v>0</v>
      </c>
      <c r="AK581" s="159">
        <f t="shared" si="284"/>
        <v>0</v>
      </c>
      <c r="AL581" s="159">
        <f t="shared" si="284"/>
        <v>0</v>
      </c>
      <c r="AM581" s="159">
        <f t="shared" si="284"/>
        <v>0</v>
      </c>
      <c r="AN581" s="159">
        <f t="shared" si="284"/>
        <v>0</v>
      </c>
      <c r="AO581" s="159">
        <f t="shared" si="284"/>
        <v>0</v>
      </c>
      <c r="AP581" s="159">
        <f t="shared" si="284"/>
        <v>0</v>
      </c>
    </row>
    <row r="582" spans="1:42" x14ac:dyDescent="0.2">
      <c r="A582" s="4">
        <f t="shared" ref="A582" si="285">A581+1</f>
        <v>10</v>
      </c>
      <c r="B582" s="176">
        <f t="shared" si="274"/>
        <v>0</v>
      </c>
      <c r="C582" s="177">
        <f t="shared" ref="C582:AP582" si="286">LOOKUP(C570,$B$504:$AP$504,$B$505:$AP$505)*$B753/100</f>
        <v>0</v>
      </c>
      <c r="D582" s="160">
        <f t="shared" si="286"/>
        <v>0</v>
      </c>
      <c r="E582" s="160">
        <f t="shared" si="286"/>
        <v>0</v>
      </c>
      <c r="F582" s="160">
        <f t="shared" si="286"/>
        <v>0</v>
      </c>
      <c r="G582" s="160">
        <f t="shared" si="286"/>
        <v>0</v>
      </c>
      <c r="H582" s="160">
        <f t="shared" si="286"/>
        <v>0</v>
      </c>
      <c r="I582" s="160">
        <f t="shared" si="286"/>
        <v>0</v>
      </c>
      <c r="J582" s="160">
        <f t="shared" si="286"/>
        <v>0</v>
      </c>
      <c r="K582" s="160">
        <f t="shared" si="286"/>
        <v>0</v>
      </c>
      <c r="L582" s="160">
        <f t="shared" si="286"/>
        <v>0</v>
      </c>
      <c r="M582" s="160">
        <f t="shared" si="286"/>
        <v>0</v>
      </c>
      <c r="N582" s="160">
        <f t="shared" si="286"/>
        <v>0</v>
      </c>
      <c r="O582" s="160">
        <f t="shared" si="286"/>
        <v>0</v>
      </c>
      <c r="P582" s="160">
        <f t="shared" si="286"/>
        <v>0</v>
      </c>
      <c r="Q582" s="160">
        <f t="shared" si="286"/>
        <v>0</v>
      </c>
      <c r="R582" s="160">
        <f t="shared" si="286"/>
        <v>0</v>
      </c>
      <c r="S582" s="160">
        <f t="shared" si="286"/>
        <v>0</v>
      </c>
      <c r="T582" s="160">
        <f t="shared" si="286"/>
        <v>0</v>
      </c>
      <c r="U582" s="160">
        <f t="shared" si="286"/>
        <v>0</v>
      </c>
      <c r="V582" s="160">
        <f t="shared" si="286"/>
        <v>0</v>
      </c>
      <c r="W582" s="160">
        <f t="shared" si="286"/>
        <v>0</v>
      </c>
      <c r="X582" s="160">
        <f t="shared" si="286"/>
        <v>0</v>
      </c>
      <c r="Y582" s="160">
        <f t="shared" si="286"/>
        <v>0</v>
      </c>
      <c r="Z582" s="160">
        <f t="shared" si="286"/>
        <v>0</v>
      </c>
      <c r="AA582" s="160">
        <f t="shared" si="286"/>
        <v>0</v>
      </c>
      <c r="AB582" s="160">
        <f t="shared" si="286"/>
        <v>0</v>
      </c>
      <c r="AC582" s="160">
        <f t="shared" si="286"/>
        <v>0</v>
      </c>
      <c r="AD582" s="160">
        <f t="shared" si="286"/>
        <v>0</v>
      </c>
      <c r="AE582" s="160">
        <f t="shared" si="286"/>
        <v>0</v>
      </c>
      <c r="AF582" s="160">
        <f t="shared" si="286"/>
        <v>0</v>
      </c>
      <c r="AG582" s="160">
        <f t="shared" si="286"/>
        <v>0</v>
      </c>
      <c r="AH582" s="160">
        <f t="shared" si="286"/>
        <v>0</v>
      </c>
      <c r="AI582" s="160">
        <f t="shared" si="286"/>
        <v>0</v>
      </c>
      <c r="AJ582" s="160">
        <f t="shared" si="286"/>
        <v>0</v>
      </c>
      <c r="AK582" s="160">
        <f t="shared" si="286"/>
        <v>0</v>
      </c>
      <c r="AL582" s="160">
        <f t="shared" si="286"/>
        <v>0</v>
      </c>
      <c r="AM582" s="160">
        <f t="shared" si="286"/>
        <v>0</v>
      </c>
      <c r="AN582" s="160">
        <f t="shared" si="286"/>
        <v>0</v>
      </c>
      <c r="AO582" s="160">
        <f t="shared" si="286"/>
        <v>0</v>
      </c>
      <c r="AP582" s="160">
        <f t="shared" si="286"/>
        <v>0</v>
      </c>
    </row>
    <row r="583" spans="1:42" x14ac:dyDescent="0.2">
      <c r="A583" s="27" t="s">
        <v>13</v>
      </c>
      <c r="B583" s="15"/>
      <c r="C583" s="159">
        <f>SUM(C573:C582)</f>
        <v>0</v>
      </c>
      <c r="D583" s="159">
        <f t="shared" ref="D583:AP583" si="287">SUM(D573:D582)</f>
        <v>0</v>
      </c>
      <c r="E583" s="159">
        <f t="shared" si="287"/>
        <v>0</v>
      </c>
      <c r="F583" s="159">
        <f t="shared" si="287"/>
        <v>0</v>
      </c>
      <c r="G583" s="159">
        <f t="shared" si="287"/>
        <v>0</v>
      </c>
      <c r="H583" s="159">
        <f t="shared" si="287"/>
        <v>0</v>
      </c>
      <c r="I583" s="159">
        <f t="shared" si="287"/>
        <v>0</v>
      </c>
      <c r="J583" s="159">
        <f t="shared" si="287"/>
        <v>0</v>
      </c>
      <c r="K583" s="159">
        <f t="shared" si="287"/>
        <v>0</v>
      </c>
      <c r="L583" s="159">
        <f t="shared" si="287"/>
        <v>0</v>
      </c>
      <c r="M583" s="159">
        <f t="shared" si="287"/>
        <v>0</v>
      </c>
      <c r="N583" s="159">
        <f t="shared" si="287"/>
        <v>0</v>
      </c>
      <c r="O583" s="159">
        <f t="shared" si="287"/>
        <v>0</v>
      </c>
      <c r="P583" s="159">
        <f t="shared" si="287"/>
        <v>0</v>
      </c>
      <c r="Q583" s="159">
        <f t="shared" si="287"/>
        <v>0</v>
      </c>
      <c r="R583" s="159">
        <f t="shared" si="287"/>
        <v>0</v>
      </c>
      <c r="S583" s="159">
        <f t="shared" si="287"/>
        <v>0</v>
      </c>
      <c r="T583" s="159">
        <f t="shared" si="287"/>
        <v>0</v>
      </c>
      <c r="U583" s="159">
        <f t="shared" si="287"/>
        <v>0</v>
      </c>
      <c r="V583" s="159">
        <f t="shared" si="287"/>
        <v>0</v>
      </c>
      <c r="W583" s="159">
        <f t="shared" si="287"/>
        <v>0</v>
      </c>
      <c r="X583" s="159">
        <f t="shared" si="287"/>
        <v>0</v>
      </c>
      <c r="Y583" s="159">
        <f t="shared" si="287"/>
        <v>0</v>
      </c>
      <c r="Z583" s="159">
        <f t="shared" si="287"/>
        <v>0</v>
      </c>
      <c r="AA583" s="159">
        <f t="shared" si="287"/>
        <v>0</v>
      </c>
      <c r="AB583" s="159">
        <f t="shared" si="287"/>
        <v>0</v>
      </c>
      <c r="AC583" s="159">
        <f t="shared" si="287"/>
        <v>0</v>
      </c>
      <c r="AD583" s="159">
        <f t="shared" si="287"/>
        <v>0</v>
      </c>
      <c r="AE583" s="159">
        <f t="shared" si="287"/>
        <v>0</v>
      </c>
      <c r="AF583" s="159">
        <f t="shared" si="287"/>
        <v>0</v>
      </c>
      <c r="AG583" s="159">
        <f t="shared" si="287"/>
        <v>0</v>
      </c>
      <c r="AH583" s="159">
        <f t="shared" si="287"/>
        <v>0</v>
      </c>
      <c r="AI583" s="159">
        <f t="shared" si="287"/>
        <v>0</v>
      </c>
      <c r="AJ583" s="159">
        <f t="shared" si="287"/>
        <v>0</v>
      </c>
      <c r="AK583" s="159">
        <f t="shared" si="287"/>
        <v>0</v>
      </c>
      <c r="AL583" s="159">
        <f t="shared" si="287"/>
        <v>0</v>
      </c>
      <c r="AM583" s="159">
        <f t="shared" si="287"/>
        <v>0</v>
      </c>
      <c r="AN583" s="159">
        <f t="shared" si="287"/>
        <v>0</v>
      </c>
      <c r="AO583" s="159">
        <f t="shared" si="287"/>
        <v>0</v>
      </c>
      <c r="AP583" s="159">
        <f t="shared" si="287"/>
        <v>0</v>
      </c>
    </row>
    <row r="584" spans="1:42" x14ac:dyDescent="0.2">
      <c r="A584" s="27"/>
      <c r="B584" s="15"/>
      <c r="C584" s="159"/>
      <c r="D584" s="159"/>
      <c r="E584" s="159"/>
      <c r="F584" s="159"/>
      <c r="G584" s="159"/>
      <c r="H584" s="159"/>
      <c r="I584" s="159"/>
      <c r="J584" s="159"/>
      <c r="K584" s="159"/>
      <c r="L584" s="159"/>
      <c r="M584" s="159"/>
      <c r="N584" s="159"/>
      <c r="O584" s="159"/>
      <c r="P584" s="159"/>
      <c r="Q584" s="159"/>
      <c r="R584" s="159"/>
      <c r="S584" s="159"/>
      <c r="T584" s="159"/>
      <c r="U584" s="159"/>
      <c r="V584" s="159"/>
      <c r="W584" s="159"/>
      <c r="X584" s="159"/>
      <c r="Y584" s="159"/>
      <c r="Z584" s="159"/>
      <c r="AA584" s="159"/>
      <c r="AB584" s="159"/>
      <c r="AC584" s="159"/>
      <c r="AD584" s="159"/>
      <c r="AE584" s="159"/>
      <c r="AF584" s="159"/>
      <c r="AG584" s="159"/>
      <c r="AH584" s="159"/>
      <c r="AI584" s="159"/>
      <c r="AJ584" s="159"/>
      <c r="AK584" s="159"/>
      <c r="AL584" s="159"/>
      <c r="AM584" s="159"/>
      <c r="AN584" s="159"/>
      <c r="AO584" s="159"/>
      <c r="AP584" s="159"/>
    </row>
    <row r="585" spans="1:42" x14ac:dyDescent="0.2">
      <c r="A585" s="355" t="s">
        <v>178</v>
      </c>
      <c r="B585" s="356"/>
      <c r="C585" s="356"/>
      <c r="D585" s="356"/>
      <c r="E585" s="356"/>
      <c r="F585" s="356"/>
      <c r="G585" s="356"/>
      <c r="H585" s="356"/>
      <c r="I585" s="356"/>
      <c r="J585" s="356"/>
      <c r="K585" s="356"/>
      <c r="L585" s="356"/>
      <c r="M585" s="356"/>
      <c r="N585" s="356"/>
      <c r="O585" s="356"/>
      <c r="P585" s="356"/>
      <c r="Q585" s="356"/>
      <c r="R585" s="356"/>
      <c r="S585" s="356"/>
      <c r="T585" s="356"/>
      <c r="U585" s="356"/>
      <c r="V585" s="356"/>
      <c r="W585" s="356"/>
      <c r="X585" s="356"/>
      <c r="Y585" s="356"/>
      <c r="Z585" s="356"/>
      <c r="AA585" s="356"/>
      <c r="AB585" s="356"/>
      <c r="AC585" s="356"/>
      <c r="AD585" s="356"/>
      <c r="AE585" s="356"/>
      <c r="AF585" s="356"/>
      <c r="AG585" s="356"/>
      <c r="AH585" s="356"/>
      <c r="AI585" s="356"/>
      <c r="AJ585" s="356"/>
      <c r="AK585" s="356"/>
      <c r="AL585" s="356"/>
      <c r="AM585" s="356"/>
      <c r="AN585" s="356"/>
      <c r="AO585" s="356"/>
      <c r="AP585" s="356"/>
    </row>
    <row r="586" spans="1:42" x14ac:dyDescent="0.2">
      <c r="A586" s="20" t="s">
        <v>333</v>
      </c>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c r="AF586" s="119"/>
      <c r="AG586" s="119"/>
      <c r="AH586" s="119"/>
      <c r="AI586" s="119"/>
      <c r="AJ586" s="119"/>
      <c r="AK586" s="119"/>
      <c r="AL586" s="119"/>
      <c r="AM586" s="119"/>
      <c r="AN586" s="119"/>
      <c r="AO586" s="119"/>
      <c r="AP586" s="119"/>
    </row>
    <row r="587" spans="1:42" x14ac:dyDescent="0.2">
      <c r="A587" s="18" t="s">
        <v>5</v>
      </c>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c r="AF587" s="119"/>
      <c r="AG587" s="119"/>
      <c r="AH587" s="119"/>
      <c r="AI587" s="119"/>
      <c r="AJ587" s="119"/>
      <c r="AK587" s="119"/>
      <c r="AL587" s="119"/>
      <c r="AM587" s="119"/>
      <c r="AN587" s="119"/>
      <c r="AO587" s="119"/>
      <c r="AP587" s="119"/>
    </row>
    <row r="588" spans="1:42" x14ac:dyDescent="0.2">
      <c r="A588" s="87" t="s">
        <v>438</v>
      </c>
      <c r="B588" s="119"/>
      <c r="C588" s="119">
        <f t="array" ref="C588:AP588">Inputs!D160:AQ160</f>
        <v>0</v>
      </c>
      <c r="D588" s="119">
        <v>0</v>
      </c>
      <c r="E588" s="119">
        <v>0</v>
      </c>
      <c r="F588" s="119">
        <v>0</v>
      </c>
      <c r="G588" s="119">
        <v>0</v>
      </c>
      <c r="H588" s="119">
        <v>0</v>
      </c>
      <c r="I588" s="119">
        <v>0</v>
      </c>
      <c r="J588" s="119">
        <v>0</v>
      </c>
      <c r="K588" s="119">
        <v>0</v>
      </c>
      <c r="L588" s="119">
        <v>0</v>
      </c>
      <c r="M588" s="119">
        <v>0</v>
      </c>
      <c r="N588" s="119">
        <v>0</v>
      </c>
      <c r="O588" s="119">
        <v>0</v>
      </c>
      <c r="P588" s="119">
        <v>0</v>
      </c>
      <c r="Q588" s="119">
        <v>0</v>
      </c>
      <c r="R588" s="119">
        <v>0</v>
      </c>
      <c r="S588" s="119">
        <v>0</v>
      </c>
      <c r="T588" s="119">
        <v>0</v>
      </c>
      <c r="U588" s="119">
        <v>0</v>
      </c>
      <c r="V588" s="119">
        <v>0</v>
      </c>
      <c r="W588" s="119">
        <v>0</v>
      </c>
      <c r="X588" s="119">
        <v>0</v>
      </c>
      <c r="Y588" s="119">
        <v>0</v>
      </c>
      <c r="Z588" s="119">
        <v>0</v>
      </c>
      <c r="AA588" s="119">
        <v>0</v>
      </c>
      <c r="AB588" s="119">
        <v>0</v>
      </c>
      <c r="AC588" s="119">
        <v>0</v>
      </c>
      <c r="AD588" s="119">
        <v>0</v>
      </c>
      <c r="AE588" s="119">
        <v>0</v>
      </c>
      <c r="AF588" s="119">
        <v>0</v>
      </c>
      <c r="AG588" s="119">
        <v>0</v>
      </c>
      <c r="AH588" s="119">
        <v>0</v>
      </c>
      <c r="AI588" s="119">
        <v>0</v>
      </c>
      <c r="AJ588" s="119">
        <v>0</v>
      </c>
      <c r="AK588" s="119">
        <v>0</v>
      </c>
      <c r="AL588" s="119">
        <v>0</v>
      </c>
      <c r="AM588" s="119">
        <v>0</v>
      </c>
      <c r="AN588" s="119">
        <v>0</v>
      </c>
      <c r="AO588" s="119">
        <v>0</v>
      </c>
      <c r="AP588" s="119">
        <v>0</v>
      </c>
    </row>
    <row r="589" spans="1:42" x14ac:dyDescent="0.2">
      <c r="A589" s="87" t="s">
        <v>439</v>
      </c>
      <c r="B589" s="119"/>
      <c r="C589" s="119">
        <f t="array" ref="C589:AP589">Inputs!D163:AQ163</f>
        <v>0</v>
      </c>
      <c r="D589" s="119">
        <v>0</v>
      </c>
      <c r="E589" s="119">
        <v>0</v>
      </c>
      <c r="F589" s="119">
        <v>0</v>
      </c>
      <c r="G589" s="119">
        <v>0</v>
      </c>
      <c r="H589" s="119">
        <v>0</v>
      </c>
      <c r="I589" s="119">
        <v>0</v>
      </c>
      <c r="J589" s="119">
        <v>0</v>
      </c>
      <c r="K589" s="119">
        <v>0</v>
      </c>
      <c r="L589" s="119">
        <v>0</v>
      </c>
      <c r="M589" s="119">
        <v>0</v>
      </c>
      <c r="N589" s="119">
        <v>0</v>
      </c>
      <c r="O589" s="119">
        <v>0</v>
      </c>
      <c r="P589" s="119">
        <v>0</v>
      </c>
      <c r="Q589" s="119">
        <v>0</v>
      </c>
      <c r="R589" s="119">
        <v>0</v>
      </c>
      <c r="S589" s="119">
        <v>0</v>
      </c>
      <c r="T589" s="119">
        <v>0</v>
      </c>
      <c r="U589" s="119">
        <v>0</v>
      </c>
      <c r="V589" s="119">
        <v>0</v>
      </c>
      <c r="W589" s="119">
        <v>0</v>
      </c>
      <c r="X589" s="119">
        <v>0</v>
      </c>
      <c r="Y589" s="119">
        <v>0</v>
      </c>
      <c r="Z589" s="119">
        <v>0</v>
      </c>
      <c r="AA589" s="119">
        <v>0</v>
      </c>
      <c r="AB589" s="119">
        <v>0</v>
      </c>
      <c r="AC589" s="119">
        <v>0</v>
      </c>
      <c r="AD589" s="119">
        <v>0</v>
      </c>
      <c r="AE589" s="119">
        <v>0</v>
      </c>
      <c r="AF589" s="119">
        <v>0</v>
      </c>
      <c r="AG589" s="119">
        <v>0</v>
      </c>
      <c r="AH589" s="119">
        <v>0</v>
      </c>
      <c r="AI589" s="119">
        <v>0</v>
      </c>
      <c r="AJ589" s="119">
        <v>0</v>
      </c>
      <c r="AK589" s="119">
        <v>0</v>
      </c>
      <c r="AL589" s="119">
        <v>0</v>
      </c>
      <c r="AM589" s="119">
        <v>0</v>
      </c>
      <c r="AN589" s="119">
        <v>0</v>
      </c>
      <c r="AO589" s="119">
        <v>0</v>
      </c>
      <c r="AP589" s="119">
        <v>0</v>
      </c>
    </row>
    <row r="590" spans="1:42" x14ac:dyDescent="0.2">
      <c r="A590" s="22" t="s">
        <v>440</v>
      </c>
      <c r="B590" s="119"/>
      <c r="C590" s="357">
        <f t="array" ref="C590:AP590">Inputs!D164:AQ164</f>
        <v>9.9999999999999998E+37</v>
      </c>
      <c r="D590" s="357">
        <v>9.9999999999999998E+37</v>
      </c>
      <c r="E590" s="357">
        <v>9.9999999999999998E+37</v>
      </c>
      <c r="F590" s="357">
        <v>9.9999999999999998E+37</v>
      </c>
      <c r="G590" s="357">
        <v>9.9999999999999998E+37</v>
      </c>
      <c r="H590" s="357">
        <v>9.9999999999999998E+37</v>
      </c>
      <c r="I590" s="357">
        <v>9.9999999999999998E+37</v>
      </c>
      <c r="J590" s="357">
        <v>9.9999999999999998E+37</v>
      </c>
      <c r="K590" s="357">
        <v>9.9999999999999998E+37</v>
      </c>
      <c r="L590" s="357">
        <v>9.9999999999999998E+37</v>
      </c>
      <c r="M590" s="357">
        <v>9.9999999999999998E+37</v>
      </c>
      <c r="N590" s="357">
        <v>9.9999999999999998E+37</v>
      </c>
      <c r="O590" s="357">
        <v>9.9999999999999998E+37</v>
      </c>
      <c r="P590" s="357">
        <v>9.9999999999999998E+37</v>
      </c>
      <c r="Q590" s="357">
        <v>9.9999999999999998E+37</v>
      </c>
      <c r="R590" s="357">
        <v>9.9999999999999998E+37</v>
      </c>
      <c r="S590" s="357">
        <v>9.9999999999999998E+37</v>
      </c>
      <c r="T590" s="357">
        <v>9.9999999999999998E+37</v>
      </c>
      <c r="U590" s="357">
        <v>9.9999999999999998E+37</v>
      </c>
      <c r="V590" s="357">
        <v>9.9999999999999998E+37</v>
      </c>
      <c r="W590" s="357">
        <v>9.9999999999999998E+37</v>
      </c>
      <c r="X590" s="357">
        <v>9.9999999999999998E+37</v>
      </c>
      <c r="Y590" s="357">
        <v>9.9999999999999998E+37</v>
      </c>
      <c r="Z590" s="357">
        <v>9.9999999999999998E+37</v>
      </c>
      <c r="AA590" s="357">
        <v>9.9999999999999998E+37</v>
      </c>
      <c r="AB590" s="357">
        <v>0</v>
      </c>
      <c r="AC590" s="357">
        <v>0</v>
      </c>
      <c r="AD590" s="357">
        <v>0</v>
      </c>
      <c r="AE590" s="357">
        <v>0</v>
      </c>
      <c r="AF590" s="357">
        <v>0</v>
      </c>
      <c r="AG590" s="357">
        <v>0</v>
      </c>
      <c r="AH590" s="357">
        <v>0</v>
      </c>
      <c r="AI590" s="357">
        <v>0</v>
      </c>
      <c r="AJ590" s="357">
        <v>0</v>
      </c>
      <c r="AK590" s="357">
        <v>0</v>
      </c>
      <c r="AL590" s="357">
        <v>0</v>
      </c>
      <c r="AM590" s="357">
        <v>0</v>
      </c>
      <c r="AN590" s="357">
        <v>0</v>
      </c>
      <c r="AO590" s="357">
        <v>0</v>
      </c>
      <c r="AP590" s="357">
        <v>0</v>
      </c>
    </row>
    <row r="591" spans="1:42" x14ac:dyDescent="0.2">
      <c r="A591" s="22" t="s">
        <v>441</v>
      </c>
      <c r="B591" s="119"/>
      <c r="C591" s="119">
        <f>MIN(C$590,C$589/100*$G$322)</f>
        <v>0</v>
      </c>
      <c r="D591" s="119">
        <f t="shared" ref="D591:AP591" si="288">MIN(D$590,D$589/100*$G$322)</f>
        <v>0</v>
      </c>
      <c r="E591" s="119">
        <f t="shared" si="288"/>
        <v>0</v>
      </c>
      <c r="F591" s="119">
        <f t="shared" si="288"/>
        <v>0</v>
      </c>
      <c r="G591" s="119">
        <f t="shared" si="288"/>
        <v>0</v>
      </c>
      <c r="H591" s="119">
        <f t="shared" si="288"/>
        <v>0</v>
      </c>
      <c r="I591" s="119">
        <f t="shared" si="288"/>
        <v>0</v>
      </c>
      <c r="J591" s="119">
        <f t="shared" si="288"/>
        <v>0</v>
      </c>
      <c r="K591" s="119">
        <f t="shared" si="288"/>
        <v>0</v>
      </c>
      <c r="L591" s="119">
        <f t="shared" si="288"/>
        <v>0</v>
      </c>
      <c r="M591" s="119">
        <f t="shared" si="288"/>
        <v>0</v>
      </c>
      <c r="N591" s="119">
        <f t="shared" si="288"/>
        <v>0</v>
      </c>
      <c r="O591" s="119">
        <f t="shared" si="288"/>
        <v>0</v>
      </c>
      <c r="P591" s="119">
        <f t="shared" si="288"/>
        <v>0</v>
      </c>
      <c r="Q591" s="119">
        <f t="shared" si="288"/>
        <v>0</v>
      </c>
      <c r="R591" s="119">
        <f t="shared" si="288"/>
        <v>0</v>
      </c>
      <c r="S591" s="119">
        <f t="shared" si="288"/>
        <v>0</v>
      </c>
      <c r="T591" s="119">
        <f t="shared" si="288"/>
        <v>0</v>
      </c>
      <c r="U591" s="119">
        <f t="shared" si="288"/>
        <v>0</v>
      </c>
      <c r="V591" s="119">
        <f t="shared" si="288"/>
        <v>0</v>
      </c>
      <c r="W591" s="119">
        <f t="shared" si="288"/>
        <v>0</v>
      </c>
      <c r="X591" s="119">
        <f t="shared" si="288"/>
        <v>0</v>
      </c>
      <c r="Y591" s="119">
        <f t="shared" si="288"/>
        <v>0</v>
      </c>
      <c r="Z591" s="119">
        <f t="shared" si="288"/>
        <v>0</v>
      </c>
      <c r="AA591" s="119">
        <f t="shared" si="288"/>
        <v>0</v>
      </c>
      <c r="AB591" s="119">
        <f t="shared" si="288"/>
        <v>0</v>
      </c>
      <c r="AC591" s="119">
        <f t="shared" si="288"/>
        <v>0</v>
      </c>
      <c r="AD591" s="119">
        <f t="shared" si="288"/>
        <v>0</v>
      </c>
      <c r="AE591" s="119">
        <f t="shared" si="288"/>
        <v>0</v>
      </c>
      <c r="AF591" s="119">
        <f t="shared" si="288"/>
        <v>0</v>
      </c>
      <c r="AG591" s="119">
        <f t="shared" si="288"/>
        <v>0</v>
      </c>
      <c r="AH591" s="119">
        <f t="shared" si="288"/>
        <v>0</v>
      </c>
      <c r="AI591" s="119">
        <f t="shared" si="288"/>
        <v>0</v>
      </c>
      <c r="AJ591" s="119">
        <f t="shared" si="288"/>
        <v>0</v>
      </c>
      <c r="AK591" s="119">
        <f t="shared" si="288"/>
        <v>0</v>
      </c>
      <c r="AL591" s="119">
        <f t="shared" si="288"/>
        <v>0</v>
      </c>
      <c r="AM591" s="119">
        <f t="shared" si="288"/>
        <v>0</v>
      </c>
      <c r="AN591" s="119">
        <f t="shared" si="288"/>
        <v>0</v>
      </c>
      <c r="AO591" s="119">
        <f t="shared" si="288"/>
        <v>0</v>
      </c>
      <c r="AP591" s="119">
        <f t="shared" si="288"/>
        <v>0</v>
      </c>
    </row>
    <row r="592" spans="1:42" x14ac:dyDescent="0.2">
      <c r="A592" s="87" t="s">
        <v>13</v>
      </c>
      <c r="B592" s="119"/>
      <c r="C592" s="119">
        <f>C$588+C$591</f>
        <v>0</v>
      </c>
      <c r="D592" s="119">
        <f t="shared" ref="D592:AP592" si="289">D$588+D$591</f>
        <v>0</v>
      </c>
      <c r="E592" s="119">
        <f t="shared" si="289"/>
        <v>0</v>
      </c>
      <c r="F592" s="119">
        <f t="shared" si="289"/>
        <v>0</v>
      </c>
      <c r="G592" s="119">
        <f t="shared" si="289"/>
        <v>0</v>
      </c>
      <c r="H592" s="119">
        <f t="shared" si="289"/>
        <v>0</v>
      </c>
      <c r="I592" s="119">
        <f t="shared" si="289"/>
        <v>0</v>
      </c>
      <c r="J592" s="119">
        <f t="shared" si="289"/>
        <v>0</v>
      </c>
      <c r="K592" s="119">
        <f t="shared" si="289"/>
        <v>0</v>
      </c>
      <c r="L592" s="119">
        <f t="shared" si="289"/>
        <v>0</v>
      </c>
      <c r="M592" s="119">
        <f t="shared" si="289"/>
        <v>0</v>
      </c>
      <c r="N592" s="119">
        <f t="shared" si="289"/>
        <v>0</v>
      </c>
      <c r="O592" s="119">
        <f t="shared" si="289"/>
        <v>0</v>
      </c>
      <c r="P592" s="119">
        <f t="shared" si="289"/>
        <v>0</v>
      </c>
      <c r="Q592" s="119">
        <f t="shared" si="289"/>
        <v>0</v>
      </c>
      <c r="R592" s="119">
        <f t="shared" si="289"/>
        <v>0</v>
      </c>
      <c r="S592" s="119">
        <f t="shared" si="289"/>
        <v>0</v>
      </c>
      <c r="T592" s="119">
        <f t="shared" si="289"/>
        <v>0</v>
      </c>
      <c r="U592" s="119">
        <f t="shared" si="289"/>
        <v>0</v>
      </c>
      <c r="V592" s="119">
        <f t="shared" si="289"/>
        <v>0</v>
      </c>
      <c r="W592" s="119">
        <f t="shared" si="289"/>
        <v>0</v>
      </c>
      <c r="X592" s="119">
        <f t="shared" si="289"/>
        <v>0</v>
      </c>
      <c r="Y592" s="119">
        <f t="shared" si="289"/>
        <v>0</v>
      </c>
      <c r="Z592" s="119">
        <f t="shared" si="289"/>
        <v>0</v>
      </c>
      <c r="AA592" s="119">
        <f t="shared" si="289"/>
        <v>0</v>
      </c>
      <c r="AB592" s="119">
        <f t="shared" si="289"/>
        <v>0</v>
      </c>
      <c r="AC592" s="119">
        <f t="shared" si="289"/>
        <v>0</v>
      </c>
      <c r="AD592" s="119">
        <f t="shared" si="289"/>
        <v>0</v>
      </c>
      <c r="AE592" s="119">
        <f t="shared" si="289"/>
        <v>0</v>
      </c>
      <c r="AF592" s="119">
        <f t="shared" si="289"/>
        <v>0</v>
      </c>
      <c r="AG592" s="119">
        <f t="shared" si="289"/>
        <v>0</v>
      </c>
      <c r="AH592" s="119">
        <f t="shared" si="289"/>
        <v>0</v>
      </c>
      <c r="AI592" s="119">
        <f t="shared" si="289"/>
        <v>0</v>
      </c>
      <c r="AJ592" s="119">
        <f t="shared" si="289"/>
        <v>0</v>
      </c>
      <c r="AK592" s="119">
        <f t="shared" si="289"/>
        <v>0</v>
      </c>
      <c r="AL592" s="119">
        <f t="shared" si="289"/>
        <v>0</v>
      </c>
      <c r="AM592" s="119">
        <f t="shared" si="289"/>
        <v>0</v>
      </c>
      <c r="AN592" s="119">
        <f t="shared" si="289"/>
        <v>0</v>
      </c>
      <c r="AO592" s="119">
        <f t="shared" si="289"/>
        <v>0</v>
      </c>
      <c r="AP592" s="119">
        <f t="shared" si="289"/>
        <v>0</v>
      </c>
    </row>
    <row r="593" spans="1:42" x14ac:dyDescent="0.2">
      <c r="A593" s="18" t="s">
        <v>4</v>
      </c>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c r="AF593" s="119"/>
      <c r="AG593" s="119"/>
      <c r="AH593" s="119"/>
      <c r="AI593" s="119"/>
      <c r="AJ593" s="119"/>
      <c r="AK593" s="119"/>
      <c r="AL593" s="119"/>
      <c r="AM593" s="119"/>
      <c r="AN593" s="119"/>
      <c r="AO593" s="119"/>
      <c r="AP593" s="119"/>
    </row>
    <row r="594" spans="1:42" x14ac:dyDescent="0.2">
      <c r="A594" s="87" t="s">
        <v>438</v>
      </c>
      <c r="B594" s="119"/>
      <c r="C594" s="119">
        <f t="array" ref="C594:AP594">Inputs!D159:AQ159</f>
        <v>0</v>
      </c>
      <c r="D594" s="119">
        <v>0</v>
      </c>
      <c r="E594" s="119">
        <v>0</v>
      </c>
      <c r="F594" s="119">
        <v>0</v>
      </c>
      <c r="G594" s="119">
        <v>0</v>
      </c>
      <c r="H594" s="119">
        <v>0</v>
      </c>
      <c r="I594" s="119">
        <v>0</v>
      </c>
      <c r="J594" s="119">
        <v>0</v>
      </c>
      <c r="K594" s="119">
        <v>0</v>
      </c>
      <c r="L594" s="119">
        <v>0</v>
      </c>
      <c r="M594" s="119">
        <v>0</v>
      </c>
      <c r="N594" s="119">
        <v>0</v>
      </c>
      <c r="O594" s="119">
        <v>0</v>
      </c>
      <c r="P594" s="119">
        <v>0</v>
      </c>
      <c r="Q594" s="119">
        <v>0</v>
      </c>
      <c r="R594" s="119">
        <v>0</v>
      </c>
      <c r="S594" s="119">
        <v>0</v>
      </c>
      <c r="T594" s="119">
        <v>0</v>
      </c>
      <c r="U594" s="119">
        <v>0</v>
      </c>
      <c r="V594" s="119">
        <v>0</v>
      </c>
      <c r="W594" s="119">
        <v>0</v>
      </c>
      <c r="X594" s="119">
        <v>0</v>
      </c>
      <c r="Y594" s="119">
        <v>0</v>
      </c>
      <c r="Z594" s="119">
        <v>0</v>
      </c>
      <c r="AA594" s="119">
        <v>0</v>
      </c>
      <c r="AB594" s="119">
        <v>0</v>
      </c>
      <c r="AC594" s="119">
        <v>0</v>
      </c>
      <c r="AD594" s="119">
        <v>0</v>
      </c>
      <c r="AE594" s="119">
        <v>0</v>
      </c>
      <c r="AF594" s="119">
        <v>0</v>
      </c>
      <c r="AG594" s="119">
        <v>0</v>
      </c>
      <c r="AH594" s="119">
        <v>0</v>
      </c>
      <c r="AI594" s="119">
        <v>0</v>
      </c>
      <c r="AJ594" s="119">
        <v>0</v>
      </c>
      <c r="AK594" s="119">
        <v>0</v>
      </c>
      <c r="AL594" s="119">
        <v>0</v>
      </c>
      <c r="AM594" s="119">
        <v>0</v>
      </c>
      <c r="AN594" s="119">
        <v>0</v>
      </c>
      <c r="AO594" s="119">
        <v>0</v>
      </c>
      <c r="AP594" s="119">
        <v>0</v>
      </c>
    </row>
    <row r="595" spans="1:42" x14ac:dyDescent="0.2">
      <c r="A595" s="87" t="s">
        <v>442</v>
      </c>
      <c r="B595" s="119"/>
      <c r="C595" s="119">
        <f t="array" ref="C595:AP595">Inputs!D161:AQ161</f>
        <v>30</v>
      </c>
      <c r="D595" s="119">
        <v>0</v>
      </c>
      <c r="E595" s="119">
        <v>0</v>
      </c>
      <c r="F595" s="119">
        <v>0</v>
      </c>
      <c r="G595" s="119">
        <v>0</v>
      </c>
      <c r="H595" s="119">
        <v>0</v>
      </c>
      <c r="I595" s="119">
        <v>0</v>
      </c>
      <c r="J595" s="119">
        <v>0</v>
      </c>
      <c r="K595" s="119">
        <v>0</v>
      </c>
      <c r="L595" s="119">
        <v>0</v>
      </c>
      <c r="M595" s="119">
        <v>0</v>
      </c>
      <c r="N595" s="119">
        <v>0</v>
      </c>
      <c r="O595" s="119">
        <v>0</v>
      </c>
      <c r="P595" s="119">
        <v>0</v>
      </c>
      <c r="Q595" s="119">
        <v>0</v>
      </c>
      <c r="R595" s="119">
        <v>0</v>
      </c>
      <c r="S595" s="119">
        <v>0</v>
      </c>
      <c r="T595" s="119">
        <v>0</v>
      </c>
      <c r="U595" s="119">
        <v>0</v>
      </c>
      <c r="V595" s="119">
        <v>0</v>
      </c>
      <c r="W595" s="119">
        <v>0</v>
      </c>
      <c r="X595" s="119">
        <v>0</v>
      </c>
      <c r="Y595" s="119">
        <v>0</v>
      </c>
      <c r="Z595" s="119">
        <v>0</v>
      </c>
      <c r="AA595" s="119">
        <v>0</v>
      </c>
      <c r="AB595" s="119">
        <v>0</v>
      </c>
      <c r="AC595" s="119">
        <v>0</v>
      </c>
      <c r="AD595" s="119">
        <v>0</v>
      </c>
      <c r="AE595" s="119">
        <v>0</v>
      </c>
      <c r="AF595" s="119">
        <v>0</v>
      </c>
      <c r="AG595" s="119">
        <v>0</v>
      </c>
      <c r="AH595" s="119">
        <v>0</v>
      </c>
      <c r="AI595" s="119">
        <v>0</v>
      </c>
      <c r="AJ595" s="119">
        <v>0</v>
      </c>
      <c r="AK595" s="119">
        <v>0</v>
      </c>
      <c r="AL595" s="119">
        <v>0</v>
      </c>
      <c r="AM595" s="119">
        <v>0</v>
      </c>
      <c r="AN595" s="119">
        <v>0</v>
      </c>
      <c r="AO595" s="119">
        <v>0</v>
      </c>
      <c r="AP595" s="119">
        <v>0</v>
      </c>
    </row>
    <row r="596" spans="1:42" x14ac:dyDescent="0.2">
      <c r="A596" s="22" t="s">
        <v>440</v>
      </c>
      <c r="B596" s="357"/>
      <c r="C596" s="357">
        <f t="array" ref="C596:AP596">Inputs!D162:AQ162</f>
        <v>9.9999999999999998E+37</v>
      </c>
      <c r="D596" s="357">
        <v>9.9999999999999998E+37</v>
      </c>
      <c r="E596" s="357">
        <v>9.9999999999999998E+37</v>
      </c>
      <c r="F596" s="357">
        <v>9.9999999999999998E+37</v>
      </c>
      <c r="G596" s="357">
        <v>9.9999999999999998E+37</v>
      </c>
      <c r="H596" s="357">
        <v>9.9999999999999998E+37</v>
      </c>
      <c r="I596" s="357">
        <v>9.9999999999999998E+37</v>
      </c>
      <c r="J596" s="357">
        <v>9.9999999999999998E+37</v>
      </c>
      <c r="K596" s="357">
        <v>9.9999999999999998E+37</v>
      </c>
      <c r="L596" s="357">
        <v>9.9999999999999998E+37</v>
      </c>
      <c r="M596" s="357">
        <v>9.9999999999999998E+37</v>
      </c>
      <c r="N596" s="357">
        <v>9.9999999999999998E+37</v>
      </c>
      <c r="O596" s="357">
        <v>9.9999999999999998E+37</v>
      </c>
      <c r="P596" s="357">
        <v>9.9999999999999998E+37</v>
      </c>
      <c r="Q596" s="357">
        <v>9.9999999999999998E+37</v>
      </c>
      <c r="R596" s="357">
        <v>9.9999999999999998E+37</v>
      </c>
      <c r="S596" s="357">
        <v>9.9999999999999998E+37</v>
      </c>
      <c r="T596" s="357">
        <v>9.9999999999999998E+37</v>
      </c>
      <c r="U596" s="357">
        <v>9.9999999999999998E+37</v>
      </c>
      <c r="V596" s="357">
        <v>9.9999999999999998E+37</v>
      </c>
      <c r="W596" s="357">
        <v>9.9999999999999998E+37</v>
      </c>
      <c r="X596" s="357">
        <v>9.9999999999999998E+37</v>
      </c>
      <c r="Y596" s="357">
        <v>9.9999999999999998E+37</v>
      </c>
      <c r="Z596" s="357">
        <v>9.9999999999999998E+37</v>
      </c>
      <c r="AA596" s="357">
        <v>9.9999999999999998E+37</v>
      </c>
      <c r="AB596" s="357">
        <v>0</v>
      </c>
      <c r="AC596" s="357">
        <v>0</v>
      </c>
      <c r="AD596" s="357">
        <v>0</v>
      </c>
      <c r="AE596" s="357">
        <v>0</v>
      </c>
      <c r="AF596" s="357">
        <v>0</v>
      </c>
      <c r="AG596" s="357">
        <v>0</v>
      </c>
      <c r="AH596" s="357">
        <v>0</v>
      </c>
      <c r="AI596" s="357">
        <v>0</v>
      </c>
      <c r="AJ596" s="357">
        <v>0</v>
      </c>
      <c r="AK596" s="357">
        <v>0</v>
      </c>
      <c r="AL596" s="357">
        <v>0</v>
      </c>
      <c r="AM596" s="357">
        <v>0</v>
      </c>
      <c r="AN596" s="357">
        <v>0</v>
      </c>
      <c r="AO596" s="357">
        <v>0</v>
      </c>
      <c r="AP596" s="357">
        <v>0</v>
      </c>
    </row>
    <row r="597" spans="1:42" x14ac:dyDescent="0.2">
      <c r="A597" s="87" t="s">
        <v>441</v>
      </c>
      <c r="B597" s="119"/>
      <c r="C597" s="119">
        <f>MIN(C$596,C$595/100*$G$458)</f>
        <v>30237239.924999997</v>
      </c>
      <c r="D597" s="119">
        <f t="shared" ref="D597:AP597" si="290">MIN(D$596,D$595/100*$G$458)</f>
        <v>0</v>
      </c>
      <c r="E597" s="119">
        <f t="shared" si="290"/>
        <v>0</v>
      </c>
      <c r="F597" s="119">
        <f t="shared" si="290"/>
        <v>0</v>
      </c>
      <c r="G597" s="119">
        <f t="shared" si="290"/>
        <v>0</v>
      </c>
      <c r="H597" s="119">
        <f t="shared" si="290"/>
        <v>0</v>
      </c>
      <c r="I597" s="119">
        <f t="shared" si="290"/>
        <v>0</v>
      </c>
      <c r="J597" s="119">
        <f t="shared" si="290"/>
        <v>0</v>
      </c>
      <c r="K597" s="119">
        <f t="shared" si="290"/>
        <v>0</v>
      </c>
      <c r="L597" s="119">
        <f t="shared" si="290"/>
        <v>0</v>
      </c>
      <c r="M597" s="119">
        <f t="shared" si="290"/>
        <v>0</v>
      </c>
      <c r="N597" s="119">
        <f t="shared" si="290"/>
        <v>0</v>
      </c>
      <c r="O597" s="119">
        <f t="shared" si="290"/>
        <v>0</v>
      </c>
      <c r="P597" s="119">
        <f t="shared" si="290"/>
        <v>0</v>
      </c>
      <c r="Q597" s="119">
        <f t="shared" si="290"/>
        <v>0</v>
      </c>
      <c r="R597" s="119">
        <f t="shared" si="290"/>
        <v>0</v>
      </c>
      <c r="S597" s="119">
        <f t="shared" si="290"/>
        <v>0</v>
      </c>
      <c r="T597" s="119">
        <f t="shared" si="290"/>
        <v>0</v>
      </c>
      <c r="U597" s="119">
        <f t="shared" si="290"/>
        <v>0</v>
      </c>
      <c r="V597" s="119">
        <f t="shared" si="290"/>
        <v>0</v>
      </c>
      <c r="W597" s="119">
        <f t="shared" si="290"/>
        <v>0</v>
      </c>
      <c r="X597" s="119">
        <f t="shared" si="290"/>
        <v>0</v>
      </c>
      <c r="Y597" s="119">
        <f t="shared" si="290"/>
        <v>0</v>
      </c>
      <c r="Z597" s="119">
        <f t="shared" si="290"/>
        <v>0</v>
      </c>
      <c r="AA597" s="119">
        <f t="shared" si="290"/>
        <v>0</v>
      </c>
      <c r="AB597" s="119">
        <f t="shared" si="290"/>
        <v>0</v>
      </c>
      <c r="AC597" s="119">
        <f t="shared" si="290"/>
        <v>0</v>
      </c>
      <c r="AD597" s="119">
        <f t="shared" si="290"/>
        <v>0</v>
      </c>
      <c r="AE597" s="119">
        <f t="shared" si="290"/>
        <v>0</v>
      </c>
      <c r="AF597" s="119">
        <f t="shared" si="290"/>
        <v>0</v>
      </c>
      <c r="AG597" s="119">
        <f t="shared" si="290"/>
        <v>0</v>
      </c>
      <c r="AH597" s="119">
        <f t="shared" si="290"/>
        <v>0</v>
      </c>
      <c r="AI597" s="119">
        <f t="shared" si="290"/>
        <v>0</v>
      </c>
      <c r="AJ597" s="119">
        <f t="shared" si="290"/>
        <v>0</v>
      </c>
      <c r="AK597" s="119">
        <f t="shared" si="290"/>
        <v>0</v>
      </c>
      <c r="AL597" s="119">
        <f t="shared" si="290"/>
        <v>0</v>
      </c>
      <c r="AM597" s="119">
        <f t="shared" si="290"/>
        <v>0</v>
      </c>
      <c r="AN597" s="119">
        <f t="shared" si="290"/>
        <v>0</v>
      </c>
      <c r="AO597" s="119">
        <f t="shared" si="290"/>
        <v>0</v>
      </c>
      <c r="AP597" s="119">
        <f t="shared" si="290"/>
        <v>0</v>
      </c>
    </row>
    <row r="598" spans="1:42" x14ac:dyDescent="0.2">
      <c r="A598" s="87" t="s">
        <v>13</v>
      </c>
      <c r="B598" s="119"/>
      <c r="C598" s="119">
        <f>C$594+C$597</f>
        <v>30237239.924999997</v>
      </c>
      <c r="D598" s="119">
        <f t="shared" ref="D598:AP598" si="291">D$594+D$597</f>
        <v>0</v>
      </c>
      <c r="E598" s="119">
        <f t="shared" si="291"/>
        <v>0</v>
      </c>
      <c r="F598" s="119">
        <f t="shared" si="291"/>
        <v>0</v>
      </c>
      <c r="G598" s="119">
        <f t="shared" si="291"/>
        <v>0</v>
      </c>
      <c r="H598" s="119">
        <f t="shared" si="291"/>
        <v>0</v>
      </c>
      <c r="I598" s="119">
        <f t="shared" si="291"/>
        <v>0</v>
      </c>
      <c r="J598" s="119">
        <f t="shared" si="291"/>
        <v>0</v>
      </c>
      <c r="K598" s="119">
        <f t="shared" si="291"/>
        <v>0</v>
      </c>
      <c r="L598" s="119">
        <f t="shared" si="291"/>
        <v>0</v>
      </c>
      <c r="M598" s="119">
        <f t="shared" si="291"/>
        <v>0</v>
      </c>
      <c r="N598" s="119">
        <f t="shared" si="291"/>
        <v>0</v>
      </c>
      <c r="O598" s="119">
        <f t="shared" si="291"/>
        <v>0</v>
      </c>
      <c r="P598" s="119">
        <f t="shared" si="291"/>
        <v>0</v>
      </c>
      <c r="Q598" s="119">
        <f t="shared" si="291"/>
        <v>0</v>
      </c>
      <c r="R598" s="119">
        <f t="shared" si="291"/>
        <v>0</v>
      </c>
      <c r="S598" s="119">
        <f t="shared" si="291"/>
        <v>0</v>
      </c>
      <c r="T598" s="119">
        <f t="shared" si="291"/>
        <v>0</v>
      </c>
      <c r="U598" s="119">
        <f t="shared" si="291"/>
        <v>0</v>
      </c>
      <c r="V598" s="119">
        <f t="shared" si="291"/>
        <v>0</v>
      </c>
      <c r="W598" s="119">
        <f t="shared" si="291"/>
        <v>0</v>
      </c>
      <c r="X598" s="119">
        <f t="shared" si="291"/>
        <v>0</v>
      </c>
      <c r="Y598" s="119">
        <f t="shared" si="291"/>
        <v>0</v>
      </c>
      <c r="Z598" s="119">
        <f t="shared" si="291"/>
        <v>0</v>
      </c>
      <c r="AA598" s="119">
        <f t="shared" si="291"/>
        <v>0</v>
      </c>
      <c r="AB598" s="119">
        <f t="shared" si="291"/>
        <v>0</v>
      </c>
      <c r="AC598" s="119">
        <f t="shared" si="291"/>
        <v>0</v>
      </c>
      <c r="AD598" s="119">
        <f t="shared" si="291"/>
        <v>0</v>
      </c>
      <c r="AE598" s="119">
        <f t="shared" si="291"/>
        <v>0</v>
      </c>
      <c r="AF598" s="119">
        <f t="shared" si="291"/>
        <v>0</v>
      </c>
      <c r="AG598" s="119">
        <f t="shared" si="291"/>
        <v>0</v>
      </c>
      <c r="AH598" s="119">
        <f t="shared" si="291"/>
        <v>0</v>
      </c>
      <c r="AI598" s="119">
        <f t="shared" si="291"/>
        <v>0</v>
      </c>
      <c r="AJ598" s="119">
        <f t="shared" si="291"/>
        <v>0</v>
      </c>
      <c r="AK598" s="119">
        <f t="shared" si="291"/>
        <v>0</v>
      </c>
      <c r="AL598" s="119">
        <f t="shared" si="291"/>
        <v>0</v>
      </c>
      <c r="AM598" s="119">
        <f t="shared" si="291"/>
        <v>0</v>
      </c>
      <c r="AN598" s="119">
        <f t="shared" si="291"/>
        <v>0</v>
      </c>
      <c r="AO598" s="119">
        <f t="shared" si="291"/>
        <v>0</v>
      </c>
      <c r="AP598" s="119">
        <f t="shared" si="291"/>
        <v>0</v>
      </c>
    </row>
    <row r="599" spans="1:42" x14ac:dyDescent="0.2">
      <c r="A599" s="20"/>
    </row>
    <row r="600" spans="1:42" x14ac:dyDescent="0.2">
      <c r="A600" s="20" t="s">
        <v>55</v>
      </c>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row>
    <row r="601" spans="1:42" x14ac:dyDescent="0.2">
      <c r="A601" s="18" t="s">
        <v>5</v>
      </c>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c r="AF601" s="119"/>
      <c r="AG601" s="119"/>
      <c r="AH601" s="119"/>
      <c r="AI601" s="119"/>
      <c r="AJ601" s="119"/>
      <c r="AK601" s="119"/>
      <c r="AL601" s="119"/>
      <c r="AM601" s="119"/>
      <c r="AN601" s="119"/>
      <c r="AO601" s="119"/>
      <c r="AP601" s="119"/>
    </row>
    <row r="602" spans="1:42" x14ac:dyDescent="0.2">
      <c r="A602" s="87" t="s">
        <v>220</v>
      </c>
      <c r="C602" s="203">
        <f>IF(ptc_sta_amount="n/a",Inputs!D172,IF(C$2&lt;=ptc_sta_term,ptc_sta_amount*(1+ptc_sta_escal/100)^B$2,0))</f>
        <v>0</v>
      </c>
      <c r="D602" s="203">
        <f>IF(ptc_sta_amount="n/a",Inputs!E172,IF(D$2&lt;=ptc_sta_term,ptc_sta_amount*(1+ptc_sta_escal/100)^C$2,0))</f>
        <v>0</v>
      </c>
      <c r="E602" s="203">
        <f>IF(ptc_sta_amount="n/a",Inputs!F172,IF(E$2&lt;=ptc_sta_term,ptc_sta_amount*(1+ptc_sta_escal/100)^D$2,0))</f>
        <v>0</v>
      </c>
      <c r="F602" s="203">
        <f>IF(ptc_sta_amount="n/a",Inputs!G172,IF(F$2&lt;=ptc_sta_term,ptc_sta_amount*(1+ptc_sta_escal/100)^E$2,0))</f>
        <v>0</v>
      </c>
      <c r="G602" s="203">
        <f>IF(ptc_sta_amount="n/a",Inputs!H172,IF(G$2&lt;=ptc_sta_term,ptc_sta_amount*(1+ptc_sta_escal/100)^F$2,0))</f>
        <v>0</v>
      </c>
      <c r="H602" s="203">
        <f>IF(ptc_sta_amount="n/a",Inputs!I172,IF(H$2&lt;=ptc_sta_term,ptc_sta_amount*(1+ptc_sta_escal/100)^G$2,0))</f>
        <v>0</v>
      </c>
      <c r="I602" s="203">
        <f>IF(ptc_sta_amount="n/a",Inputs!J172,IF(I$2&lt;=ptc_sta_term,ptc_sta_amount*(1+ptc_sta_escal/100)^H$2,0))</f>
        <v>0</v>
      </c>
      <c r="J602" s="203">
        <f>IF(ptc_sta_amount="n/a",Inputs!K172,IF(J$2&lt;=ptc_sta_term,ptc_sta_amount*(1+ptc_sta_escal/100)^I$2,0))</f>
        <v>0</v>
      </c>
      <c r="K602" s="203">
        <f>IF(ptc_sta_amount="n/a",Inputs!L172,IF(K$2&lt;=ptc_sta_term,ptc_sta_amount*(1+ptc_sta_escal/100)^J$2,0))</f>
        <v>0</v>
      </c>
      <c r="L602" s="203">
        <f>IF(ptc_sta_amount="n/a",Inputs!M172,IF(L$2&lt;=ptc_sta_term,ptc_sta_amount*(1+ptc_sta_escal/100)^K$2,0))</f>
        <v>0</v>
      </c>
      <c r="M602" s="203">
        <f>IF(ptc_sta_amount="n/a",Inputs!N172,IF(M$2&lt;=ptc_sta_term,ptc_sta_amount*(1+ptc_sta_escal/100)^L$2,0))</f>
        <v>0</v>
      </c>
      <c r="N602" s="203">
        <f>IF(ptc_sta_amount="n/a",Inputs!O172,IF(N$2&lt;=ptc_sta_term,ptc_sta_amount*(1+ptc_sta_escal/100)^M$2,0))</f>
        <v>0</v>
      </c>
      <c r="O602" s="203">
        <f>IF(ptc_sta_amount="n/a",Inputs!P172,IF(O$2&lt;=ptc_sta_term,ptc_sta_amount*(1+ptc_sta_escal/100)^N$2,0))</f>
        <v>0</v>
      </c>
      <c r="P602" s="203">
        <f>IF(ptc_sta_amount="n/a",Inputs!Q172,IF(P$2&lt;=ptc_sta_term,ptc_sta_amount*(1+ptc_sta_escal/100)^O$2,0))</f>
        <v>0</v>
      </c>
      <c r="Q602" s="203">
        <f>IF(ptc_sta_amount="n/a",Inputs!R172,IF(Q$2&lt;=ptc_sta_term,ptc_sta_amount*(1+ptc_sta_escal/100)^P$2,0))</f>
        <v>0</v>
      </c>
      <c r="R602" s="203">
        <f>IF(ptc_sta_amount="n/a",Inputs!S172,IF(R$2&lt;=ptc_sta_term,ptc_sta_amount*(1+ptc_sta_escal/100)^Q$2,0))</f>
        <v>0</v>
      </c>
      <c r="S602" s="203">
        <f>IF(ptc_sta_amount="n/a",Inputs!T172,IF(S$2&lt;=ptc_sta_term,ptc_sta_amount*(1+ptc_sta_escal/100)^R$2,0))</f>
        <v>0</v>
      </c>
      <c r="T602" s="203">
        <f>IF(ptc_sta_amount="n/a",Inputs!U172,IF(T$2&lt;=ptc_sta_term,ptc_sta_amount*(1+ptc_sta_escal/100)^S$2,0))</f>
        <v>0</v>
      </c>
      <c r="U602" s="203">
        <f>IF(ptc_sta_amount="n/a",Inputs!V172,IF(U$2&lt;=ptc_sta_term,ptc_sta_amount*(1+ptc_sta_escal/100)^T$2,0))</f>
        <v>0</v>
      </c>
      <c r="V602" s="203">
        <f>IF(ptc_sta_amount="n/a",Inputs!W172,IF(V$2&lt;=ptc_sta_term,ptc_sta_amount*(1+ptc_sta_escal/100)^U$2,0))</f>
        <v>0</v>
      </c>
      <c r="W602" s="203">
        <f>IF(ptc_sta_amount="n/a",Inputs!X172,IF(W$2&lt;=ptc_sta_term,ptc_sta_amount*(1+ptc_sta_escal/100)^V$2,0))</f>
        <v>0</v>
      </c>
      <c r="X602" s="203">
        <f>IF(ptc_sta_amount="n/a",Inputs!Y172,IF(X$2&lt;=ptc_sta_term,ptc_sta_amount*(1+ptc_sta_escal/100)^W$2,0))</f>
        <v>0</v>
      </c>
      <c r="Y602" s="203">
        <f>IF(ptc_sta_amount="n/a",Inputs!Z172,IF(Y$2&lt;=ptc_sta_term,ptc_sta_amount*(1+ptc_sta_escal/100)^X$2,0))</f>
        <v>0</v>
      </c>
      <c r="Z602" s="203">
        <f>IF(ptc_sta_amount="n/a",Inputs!AA172,IF(Z$2&lt;=ptc_sta_term,ptc_sta_amount*(1+ptc_sta_escal/100)^Y$2,0))</f>
        <v>0</v>
      </c>
      <c r="AA602" s="203">
        <f>IF(ptc_sta_amount="n/a",Inputs!AB172,IF(AA$2&lt;=ptc_sta_term,ptc_sta_amount*(1+ptc_sta_escal/100)^Z$2,0))</f>
        <v>0</v>
      </c>
      <c r="AB602" s="203">
        <f>IF(ptc_sta_amount="n/a",Inputs!AC172,IF(AB$2&lt;=ptc_sta_term,ptc_sta_amount*(1+ptc_sta_escal/100)^AA$2,0))</f>
        <v>0</v>
      </c>
      <c r="AC602" s="203">
        <f>IF(ptc_sta_amount="n/a",Inputs!AD172,IF(AC$2&lt;=ptc_sta_term,ptc_sta_amount*(1+ptc_sta_escal/100)^AB$2,0))</f>
        <v>0</v>
      </c>
      <c r="AD602" s="203">
        <f>IF(ptc_sta_amount="n/a",Inputs!AE172,IF(AD$2&lt;=ptc_sta_term,ptc_sta_amount*(1+ptc_sta_escal/100)^AC$2,0))</f>
        <v>0</v>
      </c>
      <c r="AE602" s="203">
        <f>IF(ptc_sta_amount="n/a",Inputs!AF172,IF(AE$2&lt;=ptc_sta_term,ptc_sta_amount*(1+ptc_sta_escal/100)^AD$2,0))</f>
        <v>0</v>
      </c>
      <c r="AF602" s="203">
        <f>IF(ptc_sta_amount="n/a",Inputs!AG172,IF(AF$2&lt;=ptc_sta_term,ptc_sta_amount*(1+ptc_sta_escal/100)^AE$2,0))</f>
        <v>0</v>
      </c>
      <c r="AG602" s="203">
        <f>IF(ptc_sta_amount="n/a",Inputs!AH172,IF(AG$2&lt;=ptc_sta_term,ptc_sta_amount*(1+ptc_sta_escal/100)^AF$2,0))</f>
        <v>0</v>
      </c>
      <c r="AH602" s="203">
        <f>IF(ptc_sta_amount="n/a",Inputs!AI172,IF(AH$2&lt;=ptc_sta_term,ptc_sta_amount*(1+ptc_sta_escal/100)^AG$2,0))</f>
        <v>0</v>
      </c>
      <c r="AI602" s="203">
        <f>IF(ptc_sta_amount="n/a",Inputs!AJ172,IF(AI$2&lt;=ptc_sta_term,ptc_sta_amount*(1+ptc_sta_escal/100)^AH$2,0))</f>
        <v>0</v>
      </c>
      <c r="AJ602" s="203">
        <f>IF(ptc_sta_amount="n/a",Inputs!AK172,IF(AJ$2&lt;=ptc_sta_term,ptc_sta_amount*(1+ptc_sta_escal/100)^AI$2,0))</f>
        <v>0</v>
      </c>
      <c r="AK602" s="203">
        <f>IF(ptc_sta_amount="n/a",Inputs!AL172,IF(AK$2&lt;=ptc_sta_term,ptc_sta_amount*(1+ptc_sta_escal/100)^AJ$2,0))</f>
        <v>0</v>
      </c>
      <c r="AL602" s="203">
        <f>IF(ptc_sta_amount="n/a",Inputs!AM172,IF(AL$2&lt;=ptc_sta_term,ptc_sta_amount*(1+ptc_sta_escal/100)^AK$2,0))</f>
        <v>0</v>
      </c>
      <c r="AM602" s="203">
        <f>IF(ptc_sta_amount="n/a",Inputs!AN172,IF(AM$2&lt;=ptc_sta_term,ptc_sta_amount*(1+ptc_sta_escal/100)^AL$2,0))</f>
        <v>0</v>
      </c>
      <c r="AN602" s="203">
        <f>IF(ptc_sta_amount="n/a",Inputs!AO172,IF(AN$2&lt;=ptc_sta_term,ptc_sta_amount*(1+ptc_sta_escal/100)^AM$2,0))</f>
        <v>0</v>
      </c>
      <c r="AO602" s="203">
        <f>IF(ptc_sta_amount="n/a",Inputs!AP172,IF(AO$2&lt;=ptc_sta_term,ptc_sta_amount*(1+ptc_sta_escal/100)^AN$2,0))</f>
        <v>0</v>
      </c>
      <c r="AP602" s="203">
        <f>IF(ptc_sta_amount="n/a",Inputs!AQ172,IF(AP$2&lt;=ptc_sta_term,ptc_sta_amount*(1+ptc_sta_escal/100)^AO$2,0))</f>
        <v>0</v>
      </c>
    </row>
    <row r="603" spans="1:42" x14ac:dyDescent="0.2">
      <c r="A603" s="87" t="s">
        <v>221</v>
      </c>
      <c r="C603" s="203">
        <f>ROUND(C602*1000,0)</f>
        <v>0</v>
      </c>
      <c r="D603" s="203">
        <f>ROUND(D602*1000,0)</f>
        <v>0</v>
      </c>
      <c r="E603" s="203">
        <f t="shared" ref="E603:AP603" si="292">ROUND(E602*1000,0)</f>
        <v>0</v>
      </c>
      <c r="F603" s="203">
        <f t="shared" si="292"/>
        <v>0</v>
      </c>
      <c r="G603" s="203">
        <f t="shared" si="292"/>
        <v>0</v>
      </c>
      <c r="H603" s="203">
        <f t="shared" si="292"/>
        <v>0</v>
      </c>
      <c r="I603" s="203">
        <f t="shared" si="292"/>
        <v>0</v>
      </c>
      <c r="J603" s="203">
        <f t="shared" si="292"/>
        <v>0</v>
      </c>
      <c r="K603" s="203">
        <f t="shared" si="292"/>
        <v>0</v>
      </c>
      <c r="L603" s="203">
        <f t="shared" si="292"/>
        <v>0</v>
      </c>
      <c r="M603" s="203">
        <f t="shared" si="292"/>
        <v>0</v>
      </c>
      <c r="N603" s="203">
        <f t="shared" si="292"/>
        <v>0</v>
      </c>
      <c r="O603" s="203">
        <f t="shared" si="292"/>
        <v>0</v>
      </c>
      <c r="P603" s="203">
        <f t="shared" si="292"/>
        <v>0</v>
      </c>
      <c r="Q603" s="203">
        <f t="shared" si="292"/>
        <v>0</v>
      </c>
      <c r="R603" s="203">
        <f t="shared" si="292"/>
        <v>0</v>
      </c>
      <c r="S603" s="203">
        <f t="shared" si="292"/>
        <v>0</v>
      </c>
      <c r="T603" s="203">
        <f t="shared" si="292"/>
        <v>0</v>
      </c>
      <c r="U603" s="203">
        <f t="shared" si="292"/>
        <v>0</v>
      </c>
      <c r="V603" s="203">
        <f t="shared" si="292"/>
        <v>0</v>
      </c>
      <c r="W603" s="203">
        <f t="shared" si="292"/>
        <v>0</v>
      </c>
      <c r="X603" s="203">
        <f t="shared" si="292"/>
        <v>0</v>
      </c>
      <c r="Y603" s="203">
        <f t="shared" si="292"/>
        <v>0</v>
      </c>
      <c r="Z603" s="203">
        <f t="shared" si="292"/>
        <v>0</v>
      </c>
      <c r="AA603" s="203">
        <f t="shared" si="292"/>
        <v>0</v>
      </c>
      <c r="AB603" s="203">
        <f t="shared" si="292"/>
        <v>0</v>
      </c>
      <c r="AC603" s="203">
        <f t="shared" si="292"/>
        <v>0</v>
      </c>
      <c r="AD603" s="203">
        <f t="shared" si="292"/>
        <v>0</v>
      </c>
      <c r="AE603" s="203">
        <f t="shared" si="292"/>
        <v>0</v>
      </c>
      <c r="AF603" s="203">
        <f t="shared" si="292"/>
        <v>0</v>
      </c>
      <c r="AG603" s="203">
        <f t="shared" si="292"/>
        <v>0</v>
      </c>
      <c r="AH603" s="203">
        <f t="shared" si="292"/>
        <v>0</v>
      </c>
      <c r="AI603" s="203">
        <f t="shared" si="292"/>
        <v>0</v>
      </c>
      <c r="AJ603" s="203">
        <f t="shared" si="292"/>
        <v>0</v>
      </c>
      <c r="AK603" s="203">
        <f t="shared" si="292"/>
        <v>0</v>
      </c>
      <c r="AL603" s="203">
        <f t="shared" si="292"/>
        <v>0</v>
      </c>
      <c r="AM603" s="203">
        <f t="shared" si="292"/>
        <v>0</v>
      </c>
      <c r="AN603" s="203">
        <f t="shared" si="292"/>
        <v>0</v>
      </c>
      <c r="AO603" s="203">
        <f t="shared" si="292"/>
        <v>0</v>
      </c>
      <c r="AP603" s="203">
        <f t="shared" si="292"/>
        <v>0</v>
      </c>
    </row>
    <row r="604" spans="1:42" x14ac:dyDescent="0.2">
      <c r="A604" s="87" t="s">
        <v>56</v>
      </c>
      <c r="C604" s="120">
        <f>C$5/1000</f>
        <v>211907</v>
      </c>
      <c r="D604" s="120">
        <f t="shared" ref="D604:AP604" si="293">D$5/1000</f>
        <v>210848</v>
      </c>
      <c r="E604" s="120">
        <f t="shared" si="293"/>
        <v>209794</v>
      </c>
      <c r="F604" s="120">
        <f t="shared" si="293"/>
        <v>208745</v>
      </c>
      <c r="G604" s="120">
        <f t="shared" si="293"/>
        <v>207701</v>
      </c>
      <c r="H604" s="120">
        <f t="shared" si="293"/>
        <v>206662</v>
      </c>
      <c r="I604" s="120">
        <f t="shared" si="293"/>
        <v>205629</v>
      </c>
      <c r="J604" s="120">
        <f t="shared" si="293"/>
        <v>204601</v>
      </c>
      <c r="K604" s="120">
        <f t="shared" si="293"/>
        <v>203578</v>
      </c>
      <c r="L604" s="120">
        <f t="shared" si="293"/>
        <v>202560</v>
      </c>
      <c r="M604" s="120">
        <f t="shared" si="293"/>
        <v>201547</v>
      </c>
      <c r="N604" s="120">
        <f t="shared" si="293"/>
        <v>200540</v>
      </c>
      <c r="O604" s="120">
        <f t="shared" si="293"/>
        <v>199537</v>
      </c>
      <c r="P604" s="120">
        <f t="shared" si="293"/>
        <v>198539</v>
      </c>
      <c r="Q604" s="120">
        <f t="shared" si="293"/>
        <v>197547</v>
      </c>
      <c r="R604" s="120">
        <f t="shared" si="293"/>
        <v>196559</v>
      </c>
      <c r="S604" s="120">
        <f t="shared" si="293"/>
        <v>195576</v>
      </c>
      <c r="T604" s="120">
        <f t="shared" si="293"/>
        <v>194598</v>
      </c>
      <c r="U604" s="120">
        <f t="shared" si="293"/>
        <v>193625</v>
      </c>
      <c r="V604" s="120">
        <f t="shared" si="293"/>
        <v>192657</v>
      </c>
      <c r="W604" s="120">
        <f t="shared" si="293"/>
        <v>191694</v>
      </c>
      <c r="X604" s="120">
        <f t="shared" si="293"/>
        <v>190735</v>
      </c>
      <c r="Y604" s="120">
        <f t="shared" si="293"/>
        <v>189782</v>
      </c>
      <c r="Z604" s="120">
        <f t="shared" si="293"/>
        <v>188833</v>
      </c>
      <c r="AA604" s="120">
        <f t="shared" si="293"/>
        <v>187888</v>
      </c>
      <c r="AB604" s="120">
        <f t="shared" si="293"/>
        <v>0</v>
      </c>
      <c r="AC604" s="120">
        <f t="shared" si="293"/>
        <v>0</v>
      </c>
      <c r="AD604" s="120">
        <f t="shared" si="293"/>
        <v>0</v>
      </c>
      <c r="AE604" s="120">
        <f t="shared" si="293"/>
        <v>0</v>
      </c>
      <c r="AF604" s="120">
        <f t="shared" si="293"/>
        <v>0</v>
      </c>
      <c r="AG604" s="120">
        <f t="shared" si="293"/>
        <v>0</v>
      </c>
      <c r="AH604" s="120">
        <f t="shared" si="293"/>
        <v>0</v>
      </c>
      <c r="AI604" s="120">
        <f t="shared" si="293"/>
        <v>0</v>
      </c>
      <c r="AJ604" s="120">
        <f t="shared" si="293"/>
        <v>0</v>
      </c>
      <c r="AK604" s="120">
        <f t="shared" si="293"/>
        <v>0</v>
      </c>
      <c r="AL604" s="120">
        <f t="shared" si="293"/>
        <v>0</v>
      </c>
      <c r="AM604" s="120">
        <f t="shared" si="293"/>
        <v>0</v>
      </c>
      <c r="AN604" s="120">
        <f t="shared" si="293"/>
        <v>0</v>
      </c>
      <c r="AO604" s="120">
        <f t="shared" si="293"/>
        <v>0</v>
      </c>
      <c r="AP604" s="120">
        <f t="shared" si="293"/>
        <v>0</v>
      </c>
    </row>
    <row r="605" spans="1:42" x14ac:dyDescent="0.2">
      <c r="A605" s="87" t="s">
        <v>13</v>
      </c>
      <c r="C605" s="119">
        <f>C603*C604</f>
        <v>0</v>
      </c>
      <c r="D605" s="119">
        <f>D603*D604</f>
        <v>0</v>
      </c>
      <c r="E605" s="119">
        <f t="shared" ref="E605:AP605" si="294">E603*E604</f>
        <v>0</v>
      </c>
      <c r="F605" s="119">
        <f t="shared" si="294"/>
        <v>0</v>
      </c>
      <c r="G605" s="119">
        <f t="shared" si="294"/>
        <v>0</v>
      </c>
      <c r="H605" s="119">
        <f t="shared" si="294"/>
        <v>0</v>
      </c>
      <c r="I605" s="119">
        <f t="shared" si="294"/>
        <v>0</v>
      </c>
      <c r="J605" s="119">
        <f t="shared" si="294"/>
        <v>0</v>
      </c>
      <c r="K605" s="119">
        <f t="shared" si="294"/>
        <v>0</v>
      </c>
      <c r="L605" s="119">
        <f t="shared" si="294"/>
        <v>0</v>
      </c>
      <c r="M605" s="119">
        <f t="shared" si="294"/>
        <v>0</v>
      </c>
      <c r="N605" s="119">
        <f t="shared" si="294"/>
        <v>0</v>
      </c>
      <c r="O605" s="119">
        <f t="shared" si="294"/>
        <v>0</v>
      </c>
      <c r="P605" s="119">
        <f t="shared" si="294"/>
        <v>0</v>
      </c>
      <c r="Q605" s="119">
        <f t="shared" si="294"/>
        <v>0</v>
      </c>
      <c r="R605" s="119">
        <f t="shared" si="294"/>
        <v>0</v>
      </c>
      <c r="S605" s="119">
        <f t="shared" si="294"/>
        <v>0</v>
      </c>
      <c r="T605" s="119">
        <f t="shared" si="294"/>
        <v>0</v>
      </c>
      <c r="U605" s="119">
        <f t="shared" si="294"/>
        <v>0</v>
      </c>
      <c r="V605" s="119">
        <f t="shared" si="294"/>
        <v>0</v>
      </c>
      <c r="W605" s="119">
        <f t="shared" si="294"/>
        <v>0</v>
      </c>
      <c r="X605" s="119">
        <f t="shared" si="294"/>
        <v>0</v>
      </c>
      <c r="Y605" s="119">
        <f t="shared" si="294"/>
        <v>0</v>
      </c>
      <c r="Z605" s="119">
        <f t="shared" si="294"/>
        <v>0</v>
      </c>
      <c r="AA605" s="119">
        <f t="shared" si="294"/>
        <v>0</v>
      </c>
      <c r="AB605" s="119">
        <f t="shared" si="294"/>
        <v>0</v>
      </c>
      <c r="AC605" s="119">
        <f t="shared" si="294"/>
        <v>0</v>
      </c>
      <c r="AD605" s="119">
        <f t="shared" si="294"/>
        <v>0</v>
      </c>
      <c r="AE605" s="119">
        <f t="shared" si="294"/>
        <v>0</v>
      </c>
      <c r="AF605" s="119">
        <f t="shared" si="294"/>
        <v>0</v>
      </c>
      <c r="AG605" s="119">
        <f t="shared" si="294"/>
        <v>0</v>
      </c>
      <c r="AH605" s="119">
        <f t="shared" si="294"/>
        <v>0</v>
      </c>
      <c r="AI605" s="119">
        <f t="shared" si="294"/>
        <v>0</v>
      </c>
      <c r="AJ605" s="119">
        <f t="shared" si="294"/>
        <v>0</v>
      </c>
      <c r="AK605" s="119">
        <f t="shared" si="294"/>
        <v>0</v>
      </c>
      <c r="AL605" s="119">
        <f t="shared" si="294"/>
        <v>0</v>
      </c>
      <c r="AM605" s="119">
        <f t="shared" si="294"/>
        <v>0</v>
      </c>
      <c r="AN605" s="119">
        <f t="shared" si="294"/>
        <v>0</v>
      </c>
      <c r="AO605" s="119">
        <f t="shared" si="294"/>
        <v>0</v>
      </c>
      <c r="AP605" s="119">
        <f t="shared" si="294"/>
        <v>0</v>
      </c>
    </row>
    <row r="606" spans="1:42" x14ac:dyDescent="0.2">
      <c r="A606" s="18" t="s">
        <v>4</v>
      </c>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row>
    <row r="607" spans="1:42" x14ac:dyDescent="0.2">
      <c r="A607" s="87" t="s">
        <v>220</v>
      </c>
      <c r="C607" s="108">
        <f>IF(ptc_fed_amount="n/a",Inputs!D171,IF(C$2&lt;=ptc_fed_term,ptc_fed_amount*(1+ptc_fed_escal/100)^B$2,0))</f>
        <v>0</v>
      </c>
      <c r="D607" s="108">
        <f>IF(ptc_fed_amount="n/a",Inputs!E171,IF(D$2&lt;=ptc_fed_term,ptc_fed_amount*(1+ptc_fed_escal/100)^C$2,0))</f>
        <v>0</v>
      </c>
      <c r="E607" s="108">
        <f>IF(ptc_fed_amount="n/a",Inputs!F171,IF(E$2&lt;=ptc_fed_term,ptc_fed_amount*(1+ptc_fed_escal/100)^D$2,0))</f>
        <v>0</v>
      </c>
      <c r="F607" s="108">
        <f>IF(ptc_fed_amount="n/a",Inputs!G171,IF(F$2&lt;=ptc_fed_term,ptc_fed_amount*(1+ptc_fed_escal/100)^E$2,0))</f>
        <v>0</v>
      </c>
      <c r="G607" s="108">
        <f>IF(ptc_fed_amount="n/a",Inputs!H171,IF(G$2&lt;=ptc_fed_term,ptc_fed_amount*(1+ptc_fed_escal/100)^F$2,0))</f>
        <v>0</v>
      </c>
      <c r="H607" s="108">
        <f>IF(ptc_fed_amount="n/a",Inputs!I171,IF(H$2&lt;=ptc_fed_term,ptc_fed_amount*(1+ptc_fed_escal/100)^G$2,0))</f>
        <v>0</v>
      </c>
      <c r="I607" s="108">
        <f>IF(ptc_fed_amount="n/a",Inputs!J171,IF(I$2&lt;=ptc_fed_term,ptc_fed_amount*(1+ptc_fed_escal/100)^H$2,0))</f>
        <v>0</v>
      </c>
      <c r="J607" s="108">
        <f>IF(ptc_fed_amount="n/a",Inputs!K171,IF(J$2&lt;=ptc_fed_term,ptc_fed_amount*(1+ptc_fed_escal/100)^I$2,0))</f>
        <v>0</v>
      </c>
      <c r="K607" s="108">
        <f>IF(ptc_fed_amount="n/a",Inputs!L171,IF(K$2&lt;=ptc_fed_term,ptc_fed_amount*(1+ptc_fed_escal/100)^J$2,0))</f>
        <v>0</v>
      </c>
      <c r="L607" s="108">
        <f>IF(ptc_fed_amount="n/a",Inputs!M171,IF(L$2&lt;=ptc_fed_term,ptc_fed_amount*(1+ptc_fed_escal/100)^K$2,0))</f>
        <v>0</v>
      </c>
      <c r="M607" s="108">
        <f>IF(ptc_fed_amount="n/a",Inputs!N171,IF(M$2&lt;=ptc_fed_term,ptc_fed_amount*(1+ptc_fed_escal/100)^L$2,0))</f>
        <v>0</v>
      </c>
      <c r="N607" s="108">
        <f>IF(ptc_fed_amount="n/a",Inputs!O171,IF(N$2&lt;=ptc_fed_term,ptc_fed_amount*(1+ptc_fed_escal/100)^M$2,0))</f>
        <v>0</v>
      </c>
      <c r="O607" s="108">
        <f>IF(ptc_fed_amount="n/a",Inputs!P171,IF(O$2&lt;=ptc_fed_term,ptc_fed_amount*(1+ptc_fed_escal/100)^N$2,0))</f>
        <v>0</v>
      </c>
      <c r="P607" s="108">
        <f>IF(ptc_fed_amount="n/a",Inputs!Q171,IF(P$2&lt;=ptc_fed_term,ptc_fed_amount*(1+ptc_fed_escal/100)^O$2,0))</f>
        <v>0</v>
      </c>
      <c r="Q607" s="108">
        <f>IF(ptc_fed_amount="n/a",Inputs!R171,IF(Q$2&lt;=ptc_fed_term,ptc_fed_amount*(1+ptc_fed_escal/100)^P$2,0))</f>
        <v>0</v>
      </c>
      <c r="R607" s="108">
        <f>IF(ptc_fed_amount="n/a",Inputs!S171,IF(R$2&lt;=ptc_fed_term,ptc_fed_amount*(1+ptc_fed_escal/100)^Q$2,0))</f>
        <v>0</v>
      </c>
      <c r="S607" s="108">
        <f>IF(ptc_fed_amount="n/a",Inputs!T171,IF(S$2&lt;=ptc_fed_term,ptc_fed_amount*(1+ptc_fed_escal/100)^R$2,0))</f>
        <v>0</v>
      </c>
      <c r="T607" s="108">
        <f>IF(ptc_fed_amount="n/a",Inputs!U171,IF(T$2&lt;=ptc_fed_term,ptc_fed_amount*(1+ptc_fed_escal/100)^S$2,0))</f>
        <v>0</v>
      </c>
      <c r="U607" s="108">
        <f>IF(ptc_fed_amount="n/a",Inputs!V171,IF(U$2&lt;=ptc_fed_term,ptc_fed_amount*(1+ptc_fed_escal/100)^T$2,0))</f>
        <v>0</v>
      </c>
      <c r="V607" s="108">
        <f>IF(ptc_fed_amount="n/a",Inputs!W171,IF(V$2&lt;=ptc_fed_term,ptc_fed_amount*(1+ptc_fed_escal/100)^U$2,0))</f>
        <v>0</v>
      </c>
      <c r="W607" s="108">
        <f>IF(ptc_fed_amount="n/a",Inputs!X171,IF(W$2&lt;=ptc_fed_term,ptc_fed_amount*(1+ptc_fed_escal/100)^V$2,0))</f>
        <v>0</v>
      </c>
      <c r="X607" s="108">
        <f>IF(ptc_fed_amount="n/a",Inputs!Y171,IF(X$2&lt;=ptc_fed_term,ptc_fed_amount*(1+ptc_fed_escal/100)^W$2,0))</f>
        <v>0</v>
      </c>
      <c r="Y607" s="108">
        <f>IF(ptc_fed_amount="n/a",Inputs!Z171,IF(Y$2&lt;=ptc_fed_term,ptc_fed_amount*(1+ptc_fed_escal/100)^X$2,0))</f>
        <v>0</v>
      </c>
      <c r="Z607" s="108">
        <f>IF(ptc_fed_amount="n/a",Inputs!AA171,IF(Z$2&lt;=ptc_fed_term,ptc_fed_amount*(1+ptc_fed_escal/100)^Y$2,0))</f>
        <v>0</v>
      </c>
      <c r="AA607" s="203">
        <f>IF(ptc_fed_amount="n/a",Inputs!AB171,IF(AA$2&lt;=ptc_fed_term,ptc_fed_amount*(1+ptc_fed_escal/100)^Z$2,0))</f>
        <v>0</v>
      </c>
      <c r="AB607" s="203">
        <f>IF(ptc_fed_amount="n/a",Inputs!AC171,IF(AB$2&lt;=ptc_fed_term,ptc_fed_amount*(1+ptc_fed_escal/100)^AA$2,0))</f>
        <v>0</v>
      </c>
      <c r="AC607" s="203">
        <f>IF(ptc_fed_amount="n/a",Inputs!AD171,IF(AC$2&lt;=ptc_fed_term,ptc_fed_amount*(1+ptc_fed_escal/100)^AB$2,0))</f>
        <v>0</v>
      </c>
      <c r="AD607" s="203">
        <f>IF(ptc_fed_amount="n/a",Inputs!AE171,IF(AD$2&lt;=ptc_fed_term,ptc_fed_amount*(1+ptc_fed_escal/100)^AC$2,0))</f>
        <v>0</v>
      </c>
      <c r="AE607" s="203">
        <f>IF(ptc_fed_amount="n/a",Inputs!AF171,IF(AE$2&lt;=ptc_fed_term,ptc_fed_amount*(1+ptc_fed_escal/100)^AD$2,0))</f>
        <v>0</v>
      </c>
      <c r="AF607" s="203">
        <f>IF(ptc_fed_amount="n/a",Inputs!AG171,IF(AF$2&lt;=ptc_fed_term,ptc_fed_amount*(1+ptc_fed_escal/100)^AE$2,0))</f>
        <v>0</v>
      </c>
      <c r="AG607" s="203">
        <f>IF(ptc_fed_amount="n/a",Inputs!AH171,IF(AG$2&lt;=ptc_fed_term,ptc_fed_amount*(1+ptc_fed_escal/100)^AF$2,0))</f>
        <v>0</v>
      </c>
      <c r="AH607" s="203">
        <f>IF(ptc_fed_amount="n/a",Inputs!AI171,IF(AH$2&lt;=ptc_fed_term,ptc_fed_amount*(1+ptc_fed_escal/100)^AG$2,0))</f>
        <v>0</v>
      </c>
      <c r="AI607" s="203">
        <f>IF(ptc_fed_amount="n/a",Inputs!AJ171,IF(AI$2&lt;=ptc_fed_term,ptc_fed_amount*(1+ptc_fed_escal/100)^AH$2,0))</f>
        <v>0</v>
      </c>
      <c r="AJ607" s="203">
        <f>IF(ptc_fed_amount="n/a",Inputs!AK171,IF(AJ$2&lt;=ptc_fed_term,ptc_fed_amount*(1+ptc_fed_escal/100)^AI$2,0))</f>
        <v>0</v>
      </c>
      <c r="AK607" s="203">
        <f>IF(ptc_fed_amount="n/a",Inputs!AL171,IF(AK$2&lt;=ptc_fed_term,ptc_fed_amount*(1+ptc_fed_escal/100)^AJ$2,0))</f>
        <v>0</v>
      </c>
      <c r="AL607" s="203">
        <f>IF(ptc_fed_amount="n/a",Inputs!AM171,IF(AL$2&lt;=ptc_fed_term,ptc_fed_amount*(1+ptc_fed_escal/100)^AK$2,0))</f>
        <v>0</v>
      </c>
      <c r="AM607" s="203">
        <f>IF(ptc_fed_amount="n/a",Inputs!AN171,IF(AM$2&lt;=ptc_fed_term,ptc_fed_amount*(1+ptc_fed_escal/100)^AL$2,0))</f>
        <v>0</v>
      </c>
      <c r="AN607" s="203">
        <f>IF(ptc_fed_amount="n/a",Inputs!AO171,IF(AN$2&lt;=ptc_fed_term,ptc_fed_amount*(1+ptc_fed_escal/100)^AM$2,0))</f>
        <v>0</v>
      </c>
      <c r="AO607" s="203">
        <f>IF(ptc_fed_amount="n/a",Inputs!AP171,IF(AO$2&lt;=ptc_fed_term,ptc_fed_amount*(1+ptc_fed_escal/100)^AN$2,0))</f>
        <v>0</v>
      </c>
      <c r="AP607" s="203">
        <f>IF(ptc_fed_amount="n/a",Inputs!AQ171,IF(AP$2&lt;=ptc_fed_term,ptc_fed_amount*(1+ptc_fed_escal/100)^AO$2,0))</f>
        <v>0</v>
      </c>
    </row>
    <row r="608" spans="1:42" x14ac:dyDescent="0.2">
      <c r="A608" s="87" t="s">
        <v>221</v>
      </c>
      <c r="C608" s="108">
        <f>ROUND(C607*1000,0)</f>
        <v>0</v>
      </c>
      <c r="D608" s="108">
        <f>ROUND(D607*1000,0)</f>
        <v>0</v>
      </c>
      <c r="E608" s="108">
        <f t="shared" ref="E608:AP608" si="295">ROUND(E607*1000,0)</f>
        <v>0</v>
      </c>
      <c r="F608" s="108">
        <f t="shared" si="295"/>
        <v>0</v>
      </c>
      <c r="G608" s="108">
        <f t="shared" si="295"/>
        <v>0</v>
      </c>
      <c r="H608" s="108">
        <f t="shared" si="295"/>
        <v>0</v>
      </c>
      <c r="I608" s="108">
        <f t="shared" si="295"/>
        <v>0</v>
      </c>
      <c r="J608" s="108">
        <f t="shared" si="295"/>
        <v>0</v>
      </c>
      <c r="K608" s="108">
        <f t="shared" si="295"/>
        <v>0</v>
      </c>
      <c r="L608" s="108">
        <f t="shared" si="295"/>
        <v>0</v>
      </c>
      <c r="M608" s="108">
        <f t="shared" si="295"/>
        <v>0</v>
      </c>
      <c r="N608" s="108">
        <f t="shared" si="295"/>
        <v>0</v>
      </c>
      <c r="O608" s="108">
        <f t="shared" si="295"/>
        <v>0</v>
      </c>
      <c r="P608" s="108">
        <f t="shared" si="295"/>
        <v>0</v>
      </c>
      <c r="Q608" s="108">
        <f t="shared" si="295"/>
        <v>0</v>
      </c>
      <c r="R608" s="108">
        <f t="shared" si="295"/>
        <v>0</v>
      </c>
      <c r="S608" s="108">
        <f t="shared" si="295"/>
        <v>0</v>
      </c>
      <c r="T608" s="108">
        <f t="shared" si="295"/>
        <v>0</v>
      </c>
      <c r="U608" s="108">
        <f t="shared" si="295"/>
        <v>0</v>
      </c>
      <c r="V608" s="108">
        <f t="shared" si="295"/>
        <v>0</v>
      </c>
      <c r="W608" s="108">
        <f t="shared" si="295"/>
        <v>0</v>
      </c>
      <c r="X608" s="108">
        <f t="shared" si="295"/>
        <v>0</v>
      </c>
      <c r="Y608" s="108">
        <f t="shared" si="295"/>
        <v>0</v>
      </c>
      <c r="Z608" s="108">
        <f t="shared" si="295"/>
        <v>0</v>
      </c>
      <c r="AA608" s="203">
        <f t="shared" si="295"/>
        <v>0</v>
      </c>
      <c r="AB608" s="203">
        <f t="shared" si="295"/>
        <v>0</v>
      </c>
      <c r="AC608" s="203">
        <f t="shared" si="295"/>
        <v>0</v>
      </c>
      <c r="AD608" s="203">
        <f t="shared" si="295"/>
        <v>0</v>
      </c>
      <c r="AE608" s="203">
        <f t="shared" si="295"/>
        <v>0</v>
      </c>
      <c r="AF608" s="203">
        <f t="shared" si="295"/>
        <v>0</v>
      </c>
      <c r="AG608" s="203">
        <f t="shared" si="295"/>
        <v>0</v>
      </c>
      <c r="AH608" s="203">
        <f t="shared" si="295"/>
        <v>0</v>
      </c>
      <c r="AI608" s="203">
        <f t="shared" si="295"/>
        <v>0</v>
      </c>
      <c r="AJ608" s="203">
        <f t="shared" si="295"/>
        <v>0</v>
      </c>
      <c r="AK608" s="203">
        <f t="shared" si="295"/>
        <v>0</v>
      </c>
      <c r="AL608" s="203">
        <f t="shared" si="295"/>
        <v>0</v>
      </c>
      <c r="AM608" s="203">
        <f t="shared" si="295"/>
        <v>0</v>
      </c>
      <c r="AN608" s="203">
        <f t="shared" si="295"/>
        <v>0</v>
      </c>
      <c r="AO608" s="203">
        <f t="shared" si="295"/>
        <v>0</v>
      </c>
      <c r="AP608" s="203">
        <f t="shared" si="295"/>
        <v>0</v>
      </c>
    </row>
    <row r="609" spans="1:42" x14ac:dyDescent="0.2">
      <c r="A609" s="87" t="s">
        <v>56</v>
      </c>
      <c r="C609" s="120">
        <f>C$5/1000</f>
        <v>211907</v>
      </c>
      <c r="D609" s="120">
        <f t="shared" ref="D609:AP609" si="296">D$5/1000</f>
        <v>210848</v>
      </c>
      <c r="E609" s="120">
        <f t="shared" si="296"/>
        <v>209794</v>
      </c>
      <c r="F609" s="120">
        <f t="shared" si="296"/>
        <v>208745</v>
      </c>
      <c r="G609" s="120">
        <f t="shared" si="296"/>
        <v>207701</v>
      </c>
      <c r="H609" s="120">
        <f t="shared" si="296"/>
        <v>206662</v>
      </c>
      <c r="I609" s="120">
        <f t="shared" si="296"/>
        <v>205629</v>
      </c>
      <c r="J609" s="120">
        <f t="shared" si="296"/>
        <v>204601</v>
      </c>
      <c r="K609" s="120">
        <f t="shared" si="296"/>
        <v>203578</v>
      </c>
      <c r="L609" s="120">
        <f t="shared" si="296"/>
        <v>202560</v>
      </c>
      <c r="M609" s="120">
        <f t="shared" si="296"/>
        <v>201547</v>
      </c>
      <c r="N609" s="120">
        <f t="shared" si="296"/>
        <v>200540</v>
      </c>
      <c r="O609" s="120">
        <f t="shared" si="296"/>
        <v>199537</v>
      </c>
      <c r="P609" s="120">
        <f t="shared" si="296"/>
        <v>198539</v>
      </c>
      <c r="Q609" s="120">
        <f t="shared" si="296"/>
        <v>197547</v>
      </c>
      <c r="R609" s="120">
        <f t="shared" si="296"/>
        <v>196559</v>
      </c>
      <c r="S609" s="120">
        <f t="shared" si="296"/>
        <v>195576</v>
      </c>
      <c r="T609" s="120">
        <f t="shared" si="296"/>
        <v>194598</v>
      </c>
      <c r="U609" s="120">
        <f t="shared" si="296"/>
        <v>193625</v>
      </c>
      <c r="V609" s="120">
        <f t="shared" si="296"/>
        <v>192657</v>
      </c>
      <c r="W609" s="120">
        <f t="shared" si="296"/>
        <v>191694</v>
      </c>
      <c r="X609" s="120">
        <f t="shared" si="296"/>
        <v>190735</v>
      </c>
      <c r="Y609" s="120">
        <f t="shared" si="296"/>
        <v>189782</v>
      </c>
      <c r="Z609" s="120">
        <f t="shared" si="296"/>
        <v>188833</v>
      </c>
      <c r="AA609" s="120">
        <f t="shared" si="296"/>
        <v>187888</v>
      </c>
      <c r="AB609" s="120">
        <f t="shared" si="296"/>
        <v>0</v>
      </c>
      <c r="AC609" s="120">
        <f t="shared" si="296"/>
        <v>0</v>
      </c>
      <c r="AD609" s="120">
        <f t="shared" si="296"/>
        <v>0</v>
      </c>
      <c r="AE609" s="120">
        <f t="shared" si="296"/>
        <v>0</v>
      </c>
      <c r="AF609" s="120">
        <f t="shared" si="296"/>
        <v>0</v>
      </c>
      <c r="AG609" s="120">
        <f t="shared" si="296"/>
        <v>0</v>
      </c>
      <c r="AH609" s="120">
        <f t="shared" si="296"/>
        <v>0</v>
      </c>
      <c r="AI609" s="120">
        <f t="shared" si="296"/>
        <v>0</v>
      </c>
      <c r="AJ609" s="120">
        <f t="shared" si="296"/>
        <v>0</v>
      </c>
      <c r="AK609" s="120">
        <f t="shared" si="296"/>
        <v>0</v>
      </c>
      <c r="AL609" s="120">
        <f t="shared" si="296"/>
        <v>0</v>
      </c>
      <c r="AM609" s="120">
        <f t="shared" si="296"/>
        <v>0</v>
      </c>
      <c r="AN609" s="120">
        <f t="shared" si="296"/>
        <v>0</v>
      </c>
      <c r="AO609" s="120">
        <f t="shared" si="296"/>
        <v>0</v>
      </c>
      <c r="AP609" s="120">
        <f t="shared" si="296"/>
        <v>0</v>
      </c>
    </row>
    <row r="610" spans="1:42" x14ac:dyDescent="0.2">
      <c r="A610" s="87" t="s">
        <v>13</v>
      </c>
      <c r="C610" s="119">
        <f>C608*C609</f>
        <v>0</v>
      </c>
      <c r="D610" s="119">
        <f>D608*D609</f>
        <v>0</v>
      </c>
      <c r="E610" s="119">
        <f t="shared" ref="E610:AP610" si="297">E608*E609</f>
        <v>0</v>
      </c>
      <c r="F610" s="119">
        <f t="shared" si="297"/>
        <v>0</v>
      </c>
      <c r="G610" s="119">
        <f t="shared" si="297"/>
        <v>0</v>
      </c>
      <c r="H610" s="119">
        <f t="shared" si="297"/>
        <v>0</v>
      </c>
      <c r="I610" s="119">
        <f t="shared" si="297"/>
        <v>0</v>
      </c>
      <c r="J610" s="119">
        <f t="shared" si="297"/>
        <v>0</v>
      </c>
      <c r="K610" s="119">
        <f t="shared" si="297"/>
        <v>0</v>
      </c>
      <c r="L610" s="119">
        <f t="shared" si="297"/>
        <v>0</v>
      </c>
      <c r="M610" s="119">
        <f t="shared" si="297"/>
        <v>0</v>
      </c>
      <c r="N610" s="119">
        <f t="shared" si="297"/>
        <v>0</v>
      </c>
      <c r="O610" s="119">
        <f t="shared" si="297"/>
        <v>0</v>
      </c>
      <c r="P610" s="119">
        <f t="shared" si="297"/>
        <v>0</v>
      </c>
      <c r="Q610" s="119">
        <f t="shared" si="297"/>
        <v>0</v>
      </c>
      <c r="R610" s="119">
        <f t="shared" si="297"/>
        <v>0</v>
      </c>
      <c r="S610" s="119">
        <f t="shared" si="297"/>
        <v>0</v>
      </c>
      <c r="T610" s="119">
        <f t="shared" si="297"/>
        <v>0</v>
      </c>
      <c r="U610" s="119">
        <f t="shared" si="297"/>
        <v>0</v>
      </c>
      <c r="V610" s="119">
        <f t="shared" si="297"/>
        <v>0</v>
      </c>
      <c r="W610" s="119">
        <f t="shared" si="297"/>
        <v>0</v>
      </c>
      <c r="X610" s="119">
        <f t="shared" si="297"/>
        <v>0</v>
      </c>
      <c r="Y610" s="119">
        <f t="shared" si="297"/>
        <v>0</v>
      </c>
      <c r="Z610" s="119">
        <f t="shared" si="297"/>
        <v>0</v>
      </c>
      <c r="AA610" s="119">
        <f t="shared" si="297"/>
        <v>0</v>
      </c>
      <c r="AB610" s="119">
        <f t="shared" si="297"/>
        <v>0</v>
      </c>
      <c r="AC610" s="119">
        <f t="shared" si="297"/>
        <v>0</v>
      </c>
      <c r="AD610" s="119">
        <f t="shared" si="297"/>
        <v>0</v>
      </c>
      <c r="AE610" s="119">
        <f t="shared" si="297"/>
        <v>0</v>
      </c>
      <c r="AF610" s="119">
        <f t="shared" si="297"/>
        <v>0</v>
      </c>
      <c r="AG610" s="119">
        <f t="shared" si="297"/>
        <v>0</v>
      </c>
      <c r="AH610" s="119">
        <f t="shared" si="297"/>
        <v>0</v>
      </c>
      <c r="AI610" s="119">
        <f t="shared" si="297"/>
        <v>0</v>
      </c>
      <c r="AJ610" s="119">
        <f t="shared" si="297"/>
        <v>0</v>
      </c>
      <c r="AK610" s="119">
        <f t="shared" si="297"/>
        <v>0</v>
      </c>
      <c r="AL610" s="119">
        <f t="shared" si="297"/>
        <v>0</v>
      </c>
      <c r="AM610" s="119">
        <f t="shared" si="297"/>
        <v>0</v>
      </c>
      <c r="AN610" s="119">
        <f t="shared" si="297"/>
        <v>0</v>
      </c>
      <c r="AO610" s="119">
        <f t="shared" si="297"/>
        <v>0</v>
      </c>
      <c r="AP610" s="119">
        <f t="shared" si="297"/>
        <v>0</v>
      </c>
    </row>
    <row r="611" spans="1:42" x14ac:dyDescent="0.2">
      <c r="A611" s="22"/>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row>
    <row r="612" spans="1:42" x14ac:dyDescent="0.2">
      <c r="A612" s="20" t="s">
        <v>16</v>
      </c>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row>
    <row r="613" spans="1:42" x14ac:dyDescent="0.2">
      <c r="A613" s="18" t="str">
        <f>Inputs!B104</f>
        <v>As fixed amount</v>
      </c>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row>
    <row r="614" spans="1:42" x14ac:dyDescent="0.2">
      <c r="A614" s="22" t="str">
        <f>Inputs!B105</f>
        <v>Federal ($)</v>
      </c>
      <c r="C614" s="119">
        <f>ibi_fed_amount</f>
        <v>0</v>
      </c>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row>
    <row r="615" spans="1:42" x14ac:dyDescent="0.2">
      <c r="A615" s="22" t="str">
        <f>Inputs!B106</f>
        <v>State ($)</v>
      </c>
      <c r="C615" s="119">
        <f>ibi_sta_amount</f>
        <v>0</v>
      </c>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row>
    <row r="616" spans="1:42" x14ac:dyDescent="0.2">
      <c r="A616" s="22" t="str">
        <f>Inputs!B107</f>
        <v>Utility ($)</v>
      </c>
      <c r="C616" s="119">
        <f>ibi_uti_amount</f>
        <v>0</v>
      </c>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row>
    <row r="617" spans="1:42" x14ac:dyDescent="0.2">
      <c r="A617" s="22" t="str">
        <f>Inputs!B108</f>
        <v>Other ($)</v>
      </c>
      <c r="C617" s="120">
        <f>ibi_oth_amount</f>
        <v>0</v>
      </c>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row>
    <row r="618" spans="1:42" x14ac:dyDescent="0.2">
      <c r="A618" s="22" t="s">
        <v>13</v>
      </c>
      <c r="C618" s="119">
        <f>SUM(C614:C617)</f>
        <v>0</v>
      </c>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row>
    <row r="619" spans="1:42" x14ac:dyDescent="0.2">
      <c r="A619" s="18" t="str">
        <f>Inputs!B109</f>
        <v>As percentage</v>
      </c>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row>
    <row r="620" spans="1:42" x14ac:dyDescent="0.2">
      <c r="A620" s="22" t="str">
        <f>Inputs!B110</f>
        <v>Federal (% of total installed cost)</v>
      </c>
      <c r="C620" s="157">
        <f>MIN(ibi_fed_percent/100*total_installed_cost,Inputs!D110)</f>
        <v>0</v>
      </c>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row>
    <row r="621" spans="1:42" x14ac:dyDescent="0.2">
      <c r="A621" s="22" t="str">
        <f>Inputs!B111</f>
        <v>State (% of total installed cost)</v>
      </c>
      <c r="C621" s="157">
        <f>MIN(ibi_sta_percent/100*total_installed_cost,Inputs!D111)</f>
        <v>0</v>
      </c>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row>
    <row r="622" spans="1:42" x14ac:dyDescent="0.2">
      <c r="A622" s="22" t="str">
        <f>Inputs!B112</f>
        <v>Utility (% of total installed cost)</v>
      </c>
      <c r="C622" s="157">
        <f>MIN(ibi_uti_percent/100*total_installed_cost,Inputs!D112)</f>
        <v>0</v>
      </c>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row>
    <row r="623" spans="1:42" x14ac:dyDescent="0.2">
      <c r="A623" s="22" t="str">
        <f>Inputs!B113</f>
        <v>Other (% of total installed cost)</v>
      </c>
      <c r="C623" s="157">
        <f>MIN(ibi_oth_percent/100*total_installed_cost,Inputs!D113)</f>
        <v>0</v>
      </c>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row>
    <row r="624" spans="1:42" x14ac:dyDescent="0.2">
      <c r="A624" s="22" t="s">
        <v>13</v>
      </c>
      <c r="C624" s="125">
        <f>SUM(C620:C623)</f>
        <v>0</v>
      </c>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row>
    <row r="625" spans="1:42" x14ac:dyDescent="0.2">
      <c r="A625" s="283" t="s">
        <v>346</v>
      </c>
      <c r="B625" s="284"/>
      <c r="C625" s="285">
        <f>C618+C624</f>
        <v>0</v>
      </c>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row>
    <row r="626" spans="1:42" x14ac:dyDescent="0.2">
      <c r="A626" s="22"/>
      <c r="C626" s="119"/>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row>
    <row r="627" spans="1:42" x14ac:dyDescent="0.2">
      <c r="A627" s="20" t="s">
        <v>28</v>
      </c>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row>
    <row r="628" spans="1:42" x14ac:dyDescent="0.2">
      <c r="A628" s="18" t="str">
        <f>Inputs!B115</f>
        <v>Federal ($/W)</v>
      </c>
      <c r="C628" s="157">
        <f>MIN(cbi_fed_amount*system_capacity*1000,cbi_fed_maxvalue)</f>
        <v>0</v>
      </c>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row>
    <row r="629" spans="1:42" x14ac:dyDescent="0.2">
      <c r="A629" s="18" t="str">
        <f>Inputs!B116</f>
        <v>State ($/W)</v>
      </c>
      <c r="C629" s="157">
        <f>MIN(cbi_sta_amount*system_capacity*1000,cbi_sta_maxvalue)</f>
        <v>0</v>
      </c>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row>
    <row r="630" spans="1:42" x14ac:dyDescent="0.2">
      <c r="A630" s="18" t="str">
        <f>Inputs!B117</f>
        <v>Utility ($/W)</v>
      </c>
      <c r="C630" s="157">
        <f>MIN(cbi_uti_amount*system_capacity*1000,cbi_uti_maxvalue)</f>
        <v>0</v>
      </c>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row>
    <row r="631" spans="1:42" x14ac:dyDescent="0.2">
      <c r="A631" s="18" t="str">
        <f>Inputs!B118</f>
        <v>Other ($/W)</v>
      </c>
      <c r="C631" s="157">
        <f>MIN(cbi_oth_amount*system_capacity*1000,cbi_oth_maxvalue)</f>
        <v>0</v>
      </c>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row>
    <row r="632" spans="1:42" x14ac:dyDescent="0.2">
      <c r="A632" s="283" t="s">
        <v>338</v>
      </c>
      <c r="B632" s="284"/>
      <c r="C632" s="285">
        <f>SUM(C628:C631)</f>
        <v>0</v>
      </c>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row>
    <row r="633" spans="1:42" x14ac:dyDescent="0.2">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row>
    <row r="634" spans="1:42" x14ac:dyDescent="0.2">
      <c r="A634" s="20" t="s">
        <v>25</v>
      </c>
    </row>
    <row r="635" spans="1:42" x14ac:dyDescent="0.2">
      <c r="A635" s="18" t="str">
        <f>Inputs!B120</f>
        <v>Federal ($/kWh)</v>
      </c>
    </row>
    <row r="636" spans="1:42" x14ac:dyDescent="0.2">
      <c r="A636" s="22" t="s">
        <v>26</v>
      </c>
      <c r="C636" s="203">
        <f>IF(pbi_fed_amount="n/a",Inputs!D166,IF(AND(C$2&lt;=pbi_fed_term,C$2&lt;=analysis_period),pbi_fed_amount*(1+pbi_fed_escal/100)^B$2,0))</f>
        <v>0</v>
      </c>
      <c r="D636" s="203">
        <f>IF(pbi_fed_amount="n/a",Inputs!E166,IF(AND(D$2&lt;=pbi_fed_term,D$2&lt;=analysis_period),pbi_fed_amount*(1+pbi_fed_escal/100)^C$2,0))</f>
        <v>0</v>
      </c>
      <c r="E636" s="203">
        <f>IF(pbi_fed_amount="n/a",Inputs!F166,IF(AND(E$2&lt;=pbi_fed_term,E$2&lt;=analysis_period),pbi_fed_amount*(1+pbi_fed_escal/100)^D$2,0))</f>
        <v>0</v>
      </c>
      <c r="F636" s="203">
        <f>IF(pbi_fed_amount="n/a",Inputs!G166,IF(AND(F$2&lt;=pbi_fed_term,F$2&lt;=analysis_period),pbi_fed_amount*(1+pbi_fed_escal/100)^E$2,0))</f>
        <v>0</v>
      </c>
      <c r="G636" s="203">
        <f>IF(pbi_fed_amount="n/a",Inputs!H166,IF(AND(G$2&lt;=pbi_fed_term,G$2&lt;=analysis_period),pbi_fed_amount*(1+pbi_fed_escal/100)^F$2,0))</f>
        <v>0</v>
      </c>
      <c r="H636" s="203">
        <f>IF(pbi_fed_amount="n/a",Inputs!I166,IF(AND(H$2&lt;=pbi_fed_term,H$2&lt;=analysis_period),pbi_fed_amount*(1+pbi_fed_escal/100)^G$2,0))</f>
        <v>0</v>
      </c>
      <c r="I636" s="203">
        <f>IF(pbi_fed_amount="n/a",Inputs!J166,IF(AND(I$2&lt;=pbi_fed_term,I$2&lt;=analysis_period),pbi_fed_amount*(1+pbi_fed_escal/100)^H$2,0))</f>
        <v>0</v>
      </c>
      <c r="J636" s="203">
        <f>IF(pbi_fed_amount="n/a",Inputs!K166,IF(AND(J$2&lt;=pbi_fed_term,J$2&lt;=analysis_period),pbi_fed_amount*(1+pbi_fed_escal/100)^I$2,0))</f>
        <v>0</v>
      </c>
      <c r="K636" s="203">
        <f>IF(pbi_fed_amount="n/a",Inputs!L166,IF(AND(K$2&lt;=pbi_fed_term,K$2&lt;=analysis_period),pbi_fed_amount*(1+pbi_fed_escal/100)^J$2,0))</f>
        <v>0</v>
      </c>
      <c r="L636" s="203">
        <f>IF(pbi_fed_amount="n/a",Inputs!M166,IF(AND(L$2&lt;=pbi_fed_term,L$2&lt;=analysis_period),pbi_fed_amount*(1+pbi_fed_escal/100)^K$2,0))</f>
        <v>0</v>
      </c>
      <c r="M636" s="203">
        <f>IF(pbi_fed_amount="n/a",Inputs!N166,IF(AND(M$2&lt;=pbi_fed_term,M$2&lt;=analysis_period),pbi_fed_amount*(1+pbi_fed_escal/100)^L$2,0))</f>
        <v>0</v>
      </c>
      <c r="N636" s="203">
        <f>IF(pbi_fed_amount="n/a",Inputs!O166,IF(AND(N$2&lt;=pbi_fed_term,N$2&lt;=analysis_period),pbi_fed_amount*(1+pbi_fed_escal/100)^M$2,0))</f>
        <v>0</v>
      </c>
      <c r="O636" s="203">
        <f>IF(pbi_fed_amount="n/a",Inputs!P166,IF(AND(O$2&lt;=pbi_fed_term,O$2&lt;=analysis_period),pbi_fed_amount*(1+pbi_fed_escal/100)^N$2,0))</f>
        <v>0</v>
      </c>
      <c r="P636" s="203">
        <f>IF(pbi_fed_amount="n/a",Inputs!Q166,IF(AND(P$2&lt;=pbi_fed_term,P$2&lt;=analysis_period),pbi_fed_amount*(1+pbi_fed_escal/100)^O$2,0))</f>
        <v>0</v>
      </c>
      <c r="Q636" s="203">
        <f>IF(pbi_fed_amount="n/a",Inputs!R166,IF(AND(Q$2&lt;=pbi_fed_term,Q$2&lt;=analysis_period),pbi_fed_amount*(1+pbi_fed_escal/100)^P$2,0))</f>
        <v>0</v>
      </c>
      <c r="R636" s="203">
        <f>IF(pbi_fed_amount="n/a",Inputs!S166,IF(AND(R$2&lt;=pbi_fed_term,R$2&lt;=analysis_period),pbi_fed_amount*(1+pbi_fed_escal/100)^Q$2,0))</f>
        <v>0</v>
      </c>
      <c r="S636" s="203">
        <f>IF(pbi_fed_amount="n/a",Inputs!T166,IF(AND(S$2&lt;=pbi_fed_term,S$2&lt;=analysis_period),pbi_fed_amount*(1+pbi_fed_escal/100)^R$2,0))</f>
        <v>0</v>
      </c>
      <c r="T636" s="203">
        <f>IF(pbi_fed_amount="n/a",Inputs!U166,IF(AND(T$2&lt;=pbi_fed_term,T$2&lt;=analysis_period),pbi_fed_amount*(1+pbi_fed_escal/100)^S$2,0))</f>
        <v>0</v>
      </c>
      <c r="U636" s="203">
        <f>IF(pbi_fed_amount="n/a",Inputs!V166,IF(AND(U$2&lt;=pbi_fed_term,U$2&lt;=analysis_period),pbi_fed_amount*(1+pbi_fed_escal/100)^T$2,0))</f>
        <v>0</v>
      </c>
      <c r="V636" s="203">
        <f>IF(pbi_fed_amount="n/a",Inputs!W166,IF(AND(V$2&lt;=pbi_fed_term,V$2&lt;=analysis_period),pbi_fed_amount*(1+pbi_fed_escal/100)^U$2,0))</f>
        <v>0</v>
      </c>
      <c r="W636" s="203">
        <f>IF(pbi_fed_amount="n/a",Inputs!X166,IF(AND(W$2&lt;=pbi_fed_term,W$2&lt;=analysis_period),pbi_fed_amount*(1+pbi_fed_escal/100)^V$2,0))</f>
        <v>0</v>
      </c>
      <c r="X636" s="203">
        <f>IF(pbi_fed_amount="n/a",Inputs!Y166,IF(AND(X$2&lt;=pbi_fed_term,X$2&lt;=analysis_period),pbi_fed_amount*(1+pbi_fed_escal/100)^W$2,0))</f>
        <v>0</v>
      </c>
      <c r="Y636" s="203">
        <f>IF(pbi_fed_amount="n/a",Inputs!Z166,IF(AND(Y$2&lt;=pbi_fed_term,Y$2&lt;=analysis_period),pbi_fed_amount*(1+pbi_fed_escal/100)^X$2,0))</f>
        <v>0</v>
      </c>
      <c r="Z636" s="203">
        <f>IF(pbi_fed_amount="n/a",Inputs!AA166,IF(AND(Z$2&lt;=pbi_fed_term,Z$2&lt;=analysis_period),pbi_fed_amount*(1+pbi_fed_escal/100)^Y$2,0))</f>
        <v>0</v>
      </c>
      <c r="AA636" s="203">
        <f>IF(pbi_fed_amount="n/a",Inputs!AB166,IF(AND(AA$2&lt;=pbi_fed_term,AA$2&lt;=analysis_period),pbi_fed_amount*(1+pbi_fed_escal/100)^Z$2,0))</f>
        <v>0</v>
      </c>
      <c r="AB636" s="203">
        <f>IF(pbi_fed_amount="n/a",Inputs!AC166,IF(AND(AB$2&lt;=pbi_fed_term,AB$2&lt;=analysis_period),pbi_fed_amount*(1+pbi_fed_escal/100)^AA$2,0))</f>
        <v>0</v>
      </c>
      <c r="AC636" s="203">
        <f>IF(pbi_fed_amount="n/a",Inputs!AD166,IF(AND(AC$2&lt;=pbi_fed_term,AC$2&lt;=analysis_period),pbi_fed_amount*(1+pbi_fed_escal/100)^AB$2,0))</f>
        <v>0</v>
      </c>
      <c r="AD636" s="203">
        <f>IF(pbi_fed_amount="n/a",Inputs!AE166,IF(AND(AD$2&lt;=pbi_fed_term,AD$2&lt;=analysis_period),pbi_fed_amount*(1+pbi_fed_escal/100)^AC$2,0))</f>
        <v>0</v>
      </c>
      <c r="AE636" s="203">
        <f>IF(pbi_fed_amount="n/a",Inputs!AF166,IF(AND(AE$2&lt;=pbi_fed_term,AE$2&lt;=analysis_period),pbi_fed_amount*(1+pbi_fed_escal/100)^AD$2,0))</f>
        <v>0</v>
      </c>
      <c r="AF636" s="203">
        <f>IF(pbi_fed_amount="n/a",Inputs!AG166,IF(AND(AF$2&lt;=pbi_fed_term,AF$2&lt;=analysis_period),pbi_fed_amount*(1+pbi_fed_escal/100)^AE$2,0))</f>
        <v>0</v>
      </c>
      <c r="AG636" s="203">
        <f>IF(pbi_fed_amount="n/a",Inputs!AH166,IF(AND(AG$2&lt;=pbi_fed_term,AG$2&lt;=analysis_period),pbi_fed_amount*(1+pbi_fed_escal/100)^AF$2,0))</f>
        <v>0</v>
      </c>
      <c r="AH636" s="203">
        <f>IF(pbi_fed_amount="n/a",Inputs!AI166,IF(AND(AH$2&lt;=pbi_fed_term,AH$2&lt;=analysis_period),pbi_fed_amount*(1+pbi_fed_escal/100)^AG$2,0))</f>
        <v>0</v>
      </c>
      <c r="AI636" s="203">
        <f>IF(pbi_fed_amount="n/a",Inputs!AJ166,IF(AND(AI$2&lt;=pbi_fed_term,AI$2&lt;=analysis_period),pbi_fed_amount*(1+pbi_fed_escal/100)^AH$2,0))</f>
        <v>0</v>
      </c>
      <c r="AJ636" s="203">
        <f>IF(pbi_fed_amount="n/a",Inputs!AK166,IF(AND(AJ$2&lt;=pbi_fed_term,AJ$2&lt;=analysis_period),pbi_fed_amount*(1+pbi_fed_escal/100)^AI$2,0))</f>
        <v>0</v>
      </c>
      <c r="AK636" s="203">
        <f>IF(pbi_fed_amount="n/a",Inputs!AL166,IF(AND(AK$2&lt;=pbi_fed_term,AK$2&lt;=analysis_period),pbi_fed_amount*(1+pbi_fed_escal/100)^AJ$2,0))</f>
        <v>0</v>
      </c>
      <c r="AL636" s="203">
        <f>IF(pbi_fed_amount="n/a",Inputs!AM166,IF(AND(AL$2&lt;=pbi_fed_term,AL$2&lt;=analysis_period),pbi_fed_amount*(1+pbi_fed_escal/100)^AK$2,0))</f>
        <v>0</v>
      </c>
      <c r="AM636" s="203">
        <f>IF(pbi_fed_amount="n/a",Inputs!AN166,IF(AND(AM$2&lt;=pbi_fed_term,AM$2&lt;=analysis_period),pbi_fed_amount*(1+pbi_fed_escal/100)^AL$2,0))</f>
        <v>0</v>
      </c>
      <c r="AN636" s="203">
        <f>IF(pbi_fed_amount="n/a",Inputs!AO166,IF(AND(AN$2&lt;=pbi_fed_term,AN$2&lt;=analysis_period),pbi_fed_amount*(1+pbi_fed_escal/100)^AM$2,0))</f>
        <v>0</v>
      </c>
      <c r="AO636" s="203">
        <f>IF(pbi_fed_amount="n/a",Inputs!AP166,IF(AND(AO$2&lt;=pbi_fed_term,AO$2&lt;=analysis_period),pbi_fed_amount*(1+pbi_fed_escal/100)^AN$2,0))</f>
        <v>0</v>
      </c>
      <c r="AP636" s="203">
        <f>IF(pbi_fed_amount="n/a",Inputs!AQ166,IF(AND(AP$2&lt;=pbi_fed_term,AP$2&lt;=analysis_period),pbi_fed_amount*(1+pbi_fed_escal/100)^AO$2,0))</f>
        <v>0</v>
      </c>
    </row>
    <row r="637" spans="1:42" x14ac:dyDescent="0.2">
      <c r="A637" s="22" t="s">
        <v>27</v>
      </c>
      <c r="C637" s="120">
        <f>C$5</f>
        <v>211907000</v>
      </c>
      <c r="D637" s="120">
        <f t="shared" ref="D637:AP637" si="298">D$5</f>
        <v>210848000</v>
      </c>
      <c r="E637" s="120">
        <f t="shared" si="298"/>
        <v>209794000</v>
      </c>
      <c r="F637" s="120">
        <f t="shared" si="298"/>
        <v>208745000</v>
      </c>
      <c r="G637" s="120">
        <f t="shared" si="298"/>
        <v>207701000</v>
      </c>
      <c r="H637" s="120">
        <f t="shared" si="298"/>
        <v>206662000</v>
      </c>
      <c r="I637" s="120">
        <f t="shared" si="298"/>
        <v>205629000</v>
      </c>
      <c r="J637" s="120">
        <f t="shared" si="298"/>
        <v>204601000</v>
      </c>
      <c r="K637" s="120">
        <f t="shared" si="298"/>
        <v>203578000</v>
      </c>
      <c r="L637" s="120">
        <f t="shared" si="298"/>
        <v>202560000</v>
      </c>
      <c r="M637" s="120">
        <f t="shared" si="298"/>
        <v>201547000</v>
      </c>
      <c r="N637" s="120">
        <f t="shared" si="298"/>
        <v>200540000</v>
      </c>
      <c r="O637" s="120">
        <f t="shared" si="298"/>
        <v>199537000</v>
      </c>
      <c r="P637" s="120">
        <f t="shared" si="298"/>
        <v>198539000</v>
      </c>
      <c r="Q637" s="120">
        <f t="shared" si="298"/>
        <v>197547000</v>
      </c>
      <c r="R637" s="120">
        <f t="shared" si="298"/>
        <v>196559000</v>
      </c>
      <c r="S637" s="120">
        <f t="shared" si="298"/>
        <v>195576000</v>
      </c>
      <c r="T637" s="120">
        <f t="shared" si="298"/>
        <v>194598000</v>
      </c>
      <c r="U637" s="120">
        <f t="shared" si="298"/>
        <v>193625000</v>
      </c>
      <c r="V637" s="120">
        <f t="shared" si="298"/>
        <v>192657000</v>
      </c>
      <c r="W637" s="120">
        <f t="shared" si="298"/>
        <v>191694000</v>
      </c>
      <c r="X637" s="120">
        <f t="shared" si="298"/>
        <v>190735000</v>
      </c>
      <c r="Y637" s="120">
        <f t="shared" si="298"/>
        <v>189782000</v>
      </c>
      <c r="Z637" s="120">
        <f t="shared" si="298"/>
        <v>188833000</v>
      </c>
      <c r="AA637" s="120">
        <f t="shared" si="298"/>
        <v>187888000</v>
      </c>
      <c r="AB637" s="120">
        <f t="shared" si="298"/>
        <v>0</v>
      </c>
      <c r="AC637" s="120">
        <f t="shared" si="298"/>
        <v>0</v>
      </c>
      <c r="AD637" s="120">
        <f t="shared" si="298"/>
        <v>0</v>
      </c>
      <c r="AE637" s="120">
        <f t="shared" si="298"/>
        <v>0</v>
      </c>
      <c r="AF637" s="120">
        <f t="shared" si="298"/>
        <v>0</v>
      </c>
      <c r="AG637" s="120">
        <f t="shared" si="298"/>
        <v>0</v>
      </c>
      <c r="AH637" s="120">
        <f t="shared" si="298"/>
        <v>0</v>
      </c>
      <c r="AI637" s="120">
        <f t="shared" si="298"/>
        <v>0</v>
      </c>
      <c r="AJ637" s="120">
        <f t="shared" si="298"/>
        <v>0</v>
      </c>
      <c r="AK637" s="120">
        <f t="shared" si="298"/>
        <v>0</v>
      </c>
      <c r="AL637" s="120">
        <f t="shared" si="298"/>
        <v>0</v>
      </c>
      <c r="AM637" s="120">
        <f t="shared" si="298"/>
        <v>0</v>
      </c>
      <c r="AN637" s="120">
        <f t="shared" si="298"/>
        <v>0</v>
      </c>
      <c r="AO637" s="120">
        <f t="shared" si="298"/>
        <v>0</v>
      </c>
      <c r="AP637" s="120">
        <f t="shared" si="298"/>
        <v>0</v>
      </c>
    </row>
    <row r="638" spans="1:42" x14ac:dyDescent="0.2">
      <c r="A638" s="22" t="s">
        <v>13</v>
      </c>
      <c r="C638" s="119">
        <f>C636*C637</f>
        <v>0</v>
      </c>
      <c r="D638" s="119">
        <f t="shared" ref="D638:AP638" si="299">D636*D637</f>
        <v>0</v>
      </c>
      <c r="E638" s="119">
        <f t="shared" si="299"/>
        <v>0</v>
      </c>
      <c r="F638" s="119">
        <f t="shared" si="299"/>
        <v>0</v>
      </c>
      <c r="G638" s="119">
        <f t="shared" si="299"/>
        <v>0</v>
      </c>
      <c r="H638" s="119">
        <f t="shared" si="299"/>
        <v>0</v>
      </c>
      <c r="I638" s="119">
        <f t="shared" si="299"/>
        <v>0</v>
      </c>
      <c r="J638" s="119">
        <f t="shared" si="299"/>
        <v>0</v>
      </c>
      <c r="K638" s="119">
        <f t="shared" si="299"/>
        <v>0</v>
      </c>
      <c r="L638" s="119">
        <f t="shared" si="299"/>
        <v>0</v>
      </c>
      <c r="M638" s="119">
        <f t="shared" si="299"/>
        <v>0</v>
      </c>
      <c r="N638" s="119">
        <f t="shared" si="299"/>
        <v>0</v>
      </c>
      <c r="O638" s="119">
        <f t="shared" si="299"/>
        <v>0</v>
      </c>
      <c r="P638" s="119">
        <f t="shared" si="299"/>
        <v>0</v>
      </c>
      <c r="Q638" s="119">
        <f t="shared" si="299"/>
        <v>0</v>
      </c>
      <c r="R638" s="119">
        <f t="shared" si="299"/>
        <v>0</v>
      </c>
      <c r="S638" s="119">
        <f t="shared" si="299"/>
        <v>0</v>
      </c>
      <c r="T638" s="119">
        <f t="shared" si="299"/>
        <v>0</v>
      </c>
      <c r="U638" s="119">
        <f t="shared" si="299"/>
        <v>0</v>
      </c>
      <c r="V638" s="119">
        <f t="shared" si="299"/>
        <v>0</v>
      </c>
      <c r="W638" s="119">
        <f t="shared" si="299"/>
        <v>0</v>
      </c>
      <c r="X638" s="119">
        <f t="shared" si="299"/>
        <v>0</v>
      </c>
      <c r="Y638" s="119">
        <f t="shared" si="299"/>
        <v>0</v>
      </c>
      <c r="Z638" s="119">
        <f t="shared" si="299"/>
        <v>0</v>
      </c>
      <c r="AA638" s="119">
        <f t="shared" si="299"/>
        <v>0</v>
      </c>
      <c r="AB638" s="119">
        <f t="shared" si="299"/>
        <v>0</v>
      </c>
      <c r="AC638" s="119">
        <f t="shared" si="299"/>
        <v>0</v>
      </c>
      <c r="AD638" s="119">
        <f t="shared" si="299"/>
        <v>0</v>
      </c>
      <c r="AE638" s="119">
        <f t="shared" si="299"/>
        <v>0</v>
      </c>
      <c r="AF638" s="119">
        <f t="shared" si="299"/>
        <v>0</v>
      </c>
      <c r="AG638" s="119">
        <f t="shared" si="299"/>
        <v>0</v>
      </c>
      <c r="AH638" s="119">
        <f t="shared" si="299"/>
        <v>0</v>
      </c>
      <c r="AI638" s="119">
        <f t="shared" si="299"/>
        <v>0</v>
      </c>
      <c r="AJ638" s="119">
        <f t="shared" si="299"/>
        <v>0</v>
      </c>
      <c r="AK638" s="119">
        <f t="shared" si="299"/>
        <v>0</v>
      </c>
      <c r="AL638" s="119">
        <f t="shared" si="299"/>
        <v>0</v>
      </c>
      <c r="AM638" s="119">
        <f t="shared" si="299"/>
        <v>0</v>
      </c>
      <c r="AN638" s="119">
        <f t="shared" si="299"/>
        <v>0</v>
      </c>
      <c r="AO638" s="119">
        <f t="shared" si="299"/>
        <v>0</v>
      </c>
      <c r="AP638" s="119">
        <f t="shared" si="299"/>
        <v>0</v>
      </c>
    </row>
    <row r="639" spans="1:42" x14ac:dyDescent="0.2">
      <c r="A639" s="18" t="str">
        <f>Inputs!B121</f>
        <v>State ($/kWh)</v>
      </c>
    </row>
    <row r="640" spans="1:42" x14ac:dyDescent="0.2">
      <c r="A640" s="22" t="s">
        <v>26</v>
      </c>
      <c r="C640" s="302">
        <f>IF(pbi_sta_amount="n/a",Inputs!D167,IF(AND(C$2&lt;=pbi_sta_term,C$2&lt;=analysis_period),pbi_sta_amount*(1+pbi_sta_escal/100)^B$2,0))</f>
        <v>0</v>
      </c>
      <c r="D640" s="302">
        <f>IF(pbi_sta_amount="n/a",Inputs!E167,IF(AND(D$2&lt;=pbi_sta_term,D$2&lt;=analysis_period),pbi_sta_amount*(1+pbi_sta_escal/100)^C$2,0))</f>
        <v>0</v>
      </c>
      <c r="E640" s="302">
        <f>IF(pbi_sta_amount="n/a",Inputs!F167,IF(AND(E$2&lt;=pbi_sta_term,E$2&lt;=analysis_period),pbi_sta_amount*(1+pbi_sta_escal/100)^D$2,0))</f>
        <v>0</v>
      </c>
      <c r="F640" s="302">
        <f>IF(pbi_sta_amount="n/a",Inputs!G167,IF(AND(F$2&lt;=pbi_sta_term,F$2&lt;=analysis_period),pbi_sta_amount*(1+pbi_sta_escal/100)^E$2,0))</f>
        <v>0</v>
      </c>
      <c r="G640" s="302">
        <f>IF(pbi_sta_amount="n/a",Inputs!H167,IF(AND(G$2&lt;=pbi_sta_term,G$2&lt;=analysis_period),pbi_sta_amount*(1+pbi_sta_escal/100)^F$2,0))</f>
        <v>0</v>
      </c>
      <c r="H640" s="302">
        <f>IF(pbi_sta_amount="n/a",Inputs!I167,IF(AND(H$2&lt;=pbi_sta_term,H$2&lt;=analysis_period),pbi_sta_amount*(1+pbi_sta_escal/100)^G$2,0))</f>
        <v>0</v>
      </c>
      <c r="I640" s="302">
        <f>IF(pbi_sta_amount="n/a",Inputs!J167,IF(AND(I$2&lt;=pbi_sta_term,I$2&lt;=analysis_period),pbi_sta_amount*(1+pbi_sta_escal/100)^H$2,0))</f>
        <v>0</v>
      </c>
      <c r="J640" s="302">
        <f>IF(pbi_sta_amount="n/a",Inputs!K167,IF(AND(J$2&lt;=pbi_sta_term,J$2&lt;=analysis_period),pbi_sta_amount*(1+pbi_sta_escal/100)^I$2,0))</f>
        <v>0</v>
      </c>
      <c r="K640" s="302">
        <f>IF(pbi_sta_amount="n/a",Inputs!L167,IF(AND(K$2&lt;=pbi_sta_term,K$2&lt;=analysis_period),pbi_sta_amount*(1+pbi_sta_escal/100)^J$2,0))</f>
        <v>0</v>
      </c>
      <c r="L640" s="302">
        <f>IF(pbi_sta_amount="n/a",Inputs!M167,IF(AND(L$2&lt;=pbi_sta_term,L$2&lt;=analysis_period),pbi_sta_amount*(1+pbi_sta_escal/100)^K$2,0))</f>
        <v>0</v>
      </c>
      <c r="M640" s="302">
        <f>IF(pbi_sta_amount="n/a",Inputs!N167,IF(AND(M$2&lt;=pbi_sta_term,M$2&lt;=analysis_period),pbi_sta_amount*(1+pbi_sta_escal/100)^L$2,0))</f>
        <v>0</v>
      </c>
      <c r="N640" s="302">
        <f>IF(pbi_sta_amount="n/a",Inputs!O167,IF(AND(N$2&lt;=pbi_sta_term,N$2&lt;=analysis_period),pbi_sta_amount*(1+pbi_sta_escal/100)^M$2,0))</f>
        <v>0</v>
      </c>
      <c r="O640" s="302">
        <f>IF(pbi_sta_amount="n/a",Inputs!P167,IF(AND(O$2&lt;=pbi_sta_term,O$2&lt;=analysis_period),pbi_sta_amount*(1+pbi_sta_escal/100)^N$2,0))</f>
        <v>0</v>
      </c>
      <c r="P640" s="302">
        <f>IF(pbi_sta_amount="n/a",Inputs!Q167,IF(AND(P$2&lt;=pbi_sta_term,P$2&lt;=analysis_period),pbi_sta_amount*(1+pbi_sta_escal/100)^O$2,0))</f>
        <v>0</v>
      </c>
      <c r="Q640" s="302">
        <f>IF(pbi_sta_amount="n/a",Inputs!R167,IF(AND(Q$2&lt;=pbi_sta_term,Q$2&lt;=analysis_period),pbi_sta_amount*(1+pbi_sta_escal/100)^P$2,0))</f>
        <v>0</v>
      </c>
      <c r="R640" s="302">
        <f>IF(pbi_sta_amount="n/a",Inputs!S167,IF(AND(R$2&lt;=pbi_sta_term,R$2&lt;=analysis_period),pbi_sta_amount*(1+pbi_sta_escal/100)^Q$2,0))</f>
        <v>0</v>
      </c>
      <c r="S640" s="302">
        <f>IF(pbi_sta_amount="n/a",Inputs!T167,IF(AND(S$2&lt;=pbi_sta_term,S$2&lt;=analysis_period),pbi_sta_amount*(1+pbi_sta_escal/100)^R$2,0))</f>
        <v>0</v>
      </c>
      <c r="T640" s="302">
        <f>IF(pbi_sta_amount="n/a",Inputs!U167,IF(AND(T$2&lt;=pbi_sta_term,T$2&lt;=analysis_period),pbi_sta_amount*(1+pbi_sta_escal/100)^S$2,0))</f>
        <v>0</v>
      </c>
      <c r="U640" s="302">
        <f>IF(pbi_sta_amount="n/a",Inputs!V167,IF(AND(U$2&lt;=pbi_sta_term,U$2&lt;=analysis_period),pbi_sta_amount*(1+pbi_sta_escal/100)^T$2,0))</f>
        <v>0</v>
      </c>
      <c r="V640" s="302">
        <f>IF(pbi_sta_amount="n/a",Inputs!W167,IF(AND(V$2&lt;=pbi_sta_term,V$2&lt;=analysis_period),pbi_sta_amount*(1+pbi_sta_escal/100)^U$2,0))</f>
        <v>0</v>
      </c>
      <c r="W640" s="302">
        <f>IF(pbi_sta_amount="n/a",Inputs!X167,IF(AND(W$2&lt;=pbi_sta_term,W$2&lt;=analysis_period),pbi_sta_amount*(1+pbi_sta_escal/100)^V$2,0))</f>
        <v>0</v>
      </c>
      <c r="X640" s="302">
        <f>IF(pbi_sta_amount="n/a",Inputs!Y167,IF(AND(X$2&lt;=pbi_sta_term,X$2&lt;=analysis_period),pbi_sta_amount*(1+pbi_sta_escal/100)^W$2,0))</f>
        <v>0</v>
      </c>
      <c r="Y640" s="302">
        <f>IF(pbi_sta_amount="n/a",Inputs!Z167,IF(AND(Y$2&lt;=pbi_sta_term,Y$2&lt;=analysis_period),pbi_sta_amount*(1+pbi_sta_escal/100)^X$2,0))</f>
        <v>0</v>
      </c>
      <c r="Z640" s="302">
        <f>IF(pbi_sta_amount="n/a",Inputs!AA167,IF(AND(Z$2&lt;=pbi_sta_term,Z$2&lt;=analysis_period),pbi_sta_amount*(1+pbi_sta_escal/100)^Y$2,0))</f>
        <v>0</v>
      </c>
      <c r="AA640" s="302">
        <f>IF(pbi_sta_amount="n/a",Inputs!AB167,IF(AND(AA$2&lt;=pbi_sta_term,AA$2&lt;=analysis_period),pbi_sta_amount*(1+pbi_sta_escal/100)^Z$2,0))</f>
        <v>0</v>
      </c>
      <c r="AB640" s="302">
        <f>IF(pbi_sta_amount="n/a",Inputs!AC167,IF(AND(AB$2&lt;=pbi_sta_term,AB$2&lt;=analysis_period),pbi_sta_amount*(1+pbi_sta_escal/100)^AA$2,0))</f>
        <v>0</v>
      </c>
      <c r="AC640" s="302">
        <f>IF(pbi_sta_amount="n/a",Inputs!AD167,IF(AND(AC$2&lt;=pbi_sta_term,AC$2&lt;=analysis_period),pbi_sta_amount*(1+pbi_sta_escal/100)^AB$2,0))</f>
        <v>0</v>
      </c>
      <c r="AD640" s="302">
        <f>IF(pbi_sta_amount="n/a",Inputs!AE167,IF(AND(AD$2&lt;=pbi_sta_term,AD$2&lt;=analysis_period),pbi_sta_amount*(1+pbi_sta_escal/100)^AC$2,0))</f>
        <v>0</v>
      </c>
      <c r="AE640" s="302">
        <f>IF(pbi_sta_amount="n/a",Inputs!AF167,IF(AND(AE$2&lt;=pbi_sta_term,AE$2&lt;=analysis_period),pbi_sta_amount*(1+pbi_sta_escal/100)^AD$2,0))</f>
        <v>0</v>
      </c>
      <c r="AF640" s="302">
        <f>IF(pbi_sta_amount="n/a",Inputs!AG167,IF(AND(AF$2&lt;=pbi_sta_term,AF$2&lt;=analysis_period),pbi_sta_amount*(1+pbi_sta_escal/100)^AE$2,0))</f>
        <v>0</v>
      </c>
      <c r="AG640" s="302">
        <f>IF(pbi_sta_amount="n/a",Inputs!AH167,IF(AND(AG$2&lt;=pbi_sta_term,AG$2&lt;=analysis_period),pbi_sta_amount*(1+pbi_sta_escal/100)^AF$2,0))</f>
        <v>0</v>
      </c>
      <c r="AH640" s="302">
        <f>IF(pbi_sta_amount="n/a",Inputs!AI167,IF(AND(AH$2&lt;=pbi_sta_term,AH$2&lt;=analysis_period),pbi_sta_amount*(1+pbi_sta_escal/100)^AG$2,0))</f>
        <v>0</v>
      </c>
      <c r="AI640" s="302">
        <f>IF(pbi_sta_amount="n/a",Inputs!AJ167,IF(AND(AI$2&lt;=pbi_sta_term,AI$2&lt;=analysis_period),pbi_sta_amount*(1+pbi_sta_escal/100)^AH$2,0))</f>
        <v>0</v>
      </c>
      <c r="AJ640" s="302">
        <f>IF(pbi_sta_amount="n/a",Inputs!AK167,IF(AND(AJ$2&lt;=pbi_sta_term,AJ$2&lt;=analysis_period),pbi_sta_amount*(1+pbi_sta_escal/100)^AI$2,0))</f>
        <v>0</v>
      </c>
      <c r="AK640" s="302">
        <f>IF(pbi_sta_amount="n/a",Inputs!AL167,IF(AND(AK$2&lt;=pbi_sta_term,AK$2&lt;=analysis_period),pbi_sta_amount*(1+pbi_sta_escal/100)^AJ$2,0))</f>
        <v>0</v>
      </c>
      <c r="AL640" s="302">
        <f>IF(pbi_sta_amount="n/a",Inputs!AM167,IF(AND(AL$2&lt;=pbi_sta_term,AL$2&lt;=analysis_period),pbi_sta_amount*(1+pbi_sta_escal/100)^AK$2,0))</f>
        <v>0</v>
      </c>
      <c r="AM640" s="302">
        <f>IF(pbi_sta_amount="n/a",Inputs!AN167,IF(AND(AM$2&lt;=pbi_sta_term,AM$2&lt;=analysis_period),pbi_sta_amount*(1+pbi_sta_escal/100)^AL$2,0))</f>
        <v>0</v>
      </c>
      <c r="AN640" s="302">
        <f>IF(pbi_sta_amount="n/a",Inputs!AO167,IF(AND(AN$2&lt;=pbi_sta_term,AN$2&lt;=analysis_period),pbi_sta_amount*(1+pbi_sta_escal/100)^AM$2,0))</f>
        <v>0</v>
      </c>
      <c r="AO640" s="302">
        <f>IF(pbi_sta_amount="n/a",Inputs!AP167,IF(AND(AO$2&lt;=pbi_sta_term,AO$2&lt;=analysis_period),pbi_sta_amount*(1+pbi_sta_escal/100)^AN$2,0))</f>
        <v>0</v>
      </c>
      <c r="AP640" s="302">
        <f>IF(pbi_sta_amount="n/a",Inputs!AQ167,IF(AND(AP$2&lt;=pbi_sta_term,AP$2&lt;=analysis_period),pbi_sta_amount*(1+pbi_sta_escal/100)^AO$2,0))</f>
        <v>0</v>
      </c>
    </row>
    <row r="641" spans="1:42" x14ac:dyDescent="0.2">
      <c r="A641" s="22" t="s">
        <v>27</v>
      </c>
      <c r="C641" s="120">
        <f>C$5</f>
        <v>211907000</v>
      </c>
      <c r="D641" s="120">
        <f t="shared" ref="D641:AP641" si="300">D$5</f>
        <v>210848000</v>
      </c>
      <c r="E641" s="120">
        <f t="shared" si="300"/>
        <v>209794000</v>
      </c>
      <c r="F641" s="120">
        <f t="shared" si="300"/>
        <v>208745000</v>
      </c>
      <c r="G641" s="120">
        <f t="shared" si="300"/>
        <v>207701000</v>
      </c>
      <c r="H641" s="120">
        <f t="shared" si="300"/>
        <v>206662000</v>
      </c>
      <c r="I641" s="120">
        <f t="shared" si="300"/>
        <v>205629000</v>
      </c>
      <c r="J641" s="120">
        <f t="shared" si="300"/>
        <v>204601000</v>
      </c>
      <c r="K641" s="120">
        <f t="shared" si="300"/>
        <v>203578000</v>
      </c>
      <c r="L641" s="120">
        <f t="shared" si="300"/>
        <v>202560000</v>
      </c>
      <c r="M641" s="120">
        <f t="shared" si="300"/>
        <v>201547000</v>
      </c>
      <c r="N641" s="120">
        <f t="shared" si="300"/>
        <v>200540000</v>
      </c>
      <c r="O641" s="120">
        <f t="shared" si="300"/>
        <v>199537000</v>
      </c>
      <c r="P641" s="120">
        <f t="shared" si="300"/>
        <v>198539000</v>
      </c>
      <c r="Q641" s="120">
        <f t="shared" si="300"/>
        <v>197547000</v>
      </c>
      <c r="R641" s="120">
        <f t="shared" si="300"/>
        <v>196559000</v>
      </c>
      <c r="S641" s="120">
        <f t="shared" si="300"/>
        <v>195576000</v>
      </c>
      <c r="T641" s="120">
        <f t="shared" si="300"/>
        <v>194598000</v>
      </c>
      <c r="U641" s="120">
        <f t="shared" si="300"/>
        <v>193625000</v>
      </c>
      <c r="V641" s="120">
        <f t="shared" si="300"/>
        <v>192657000</v>
      </c>
      <c r="W641" s="120">
        <f t="shared" si="300"/>
        <v>191694000</v>
      </c>
      <c r="X641" s="120">
        <f t="shared" si="300"/>
        <v>190735000</v>
      </c>
      <c r="Y641" s="120">
        <f t="shared" si="300"/>
        <v>189782000</v>
      </c>
      <c r="Z641" s="120">
        <f t="shared" si="300"/>
        <v>188833000</v>
      </c>
      <c r="AA641" s="120">
        <f t="shared" si="300"/>
        <v>187888000</v>
      </c>
      <c r="AB641" s="120">
        <f t="shared" si="300"/>
        <v>0</v>
      </c>
      <c r="AC641" s="120">
        <f t="shared" si="300"/>
        <v>0</v>
      </c>
      <c r="AD641" s="120">
        <f t="shared" si="300"/>
        <v>0</v>
      </c>
      <c r="AE641" s="120">
        <f t="shared" si="300"/>
        <v>0</v>
      </c>
      <c r="AF641" s="120">
        <f t="shared" si="300"/>
        <v>0</v>
      </c>
      <c r="AG641" s="120">
        <f t="shared" si="300"/>
        <v>0</v>
      </c>
      <c r="AH641" s="120">
        <f t="shared" si="300"/>
        <v>0</v>
      </c>
      <c r="AI641" s="120">
        <f t="shared" si="300"/>
        <v>0</v>
      </c>
      <c r="AJ641" s="120">
        <f t="shared" si="300"/>
        <v>0</v>
      </c>
      <c r="AK641" s="120">
        <f t="shared" si="300"/>
        <v>0</v>
      </c>
      <c r="AL641" s="120">
        <f t="shared" si="300"/>
        <v>0</v>
      </c>
      <c r="AM641" s="120">
        <f t="shared" si="300"/>
        <v>0</v>
      </c>
      <c r="AN641" s="120">
        <f t="shared" si="300"/>
        <v>0</v>
      </c>
      <c r="AO641" s="120">
        <f t="shared" si="300"/>
        <v>0</v>
      </c>
      <c r="AP641" s="120">
        <f t="shared" si="300"/>
        <v>0</v>
      </c>
    </row>
    <row r="642" spans="1:42" x14ac:dyDescent="0.2">
      <c r="A642" s="22" t="s">
        <v>13</v>
      </c>
      <c r="C642" s="119">
        <f>C640*C641</f>
        <v>0</v>
      </c>
      <c r="D642" s="119">
        <f t="shared" ref="D642:AP642" si="301">D640*D641</f>
        <v>0</v>
      </c>
      <c r="E642" s="119">
        <f t="shared" si="301"/>
        <v>0</v>
      </c>
      <c r="F642" s="119">
        <f t="shared" si="301"/>
        <v>0</v>
      </c>
      <c r="G642" s="119">
        <f t="shared" si="301"/>
        <v>0</v>
      </c>
      <c r="H642" s="119">
        <f t="shared" si="301"/>
        <v>0</v>
      </c>
      <c r="I642" s="119">
        <f t="shared" si="301"/>
        <v>0</v>
      </c>
      <c r="J642" s="119">
        <f t="shared" si="301"/>
        <v>0</v>
      </c>
      <c r="K642" s="119">
        <f t="shared" si="301"/>
        <v>0</v>
      </c>
      <c r="L642" s="119">
        <f t="shared" si="301"/>
        <v>0</v>
      </c>
      <c r="M642" s="119">
        <f t="shared" si="301"/>
        <v>0</v>
      </c>
      <c r="N642" s="119">
        <f t="shared" si="301"/>
        <v>0</v>
      </c>
      <c r="O642" s="119">
        <f t="shared" si="301"/>
        <v>0</v>
      </c>
      <c r="P642" s="119">
        <f t="shared" si="301"/>
        <v>0</v>
      </c>
      <c r="Q642" s="119">
        <f t="shared" si="301"/>
        <v>0</v>
      </c>
      <c r="R642" s="119">
        <f t="shared" si="301"/>
        <v>0</v>
      </c>
      <c r="S642" s="119">
        <f t="shared" si="301"/>
        <v>0</v>
      </c>
      <c r="T642" s="119">
        <f t="shared" si="301"/>
        <v>0</v>
      </c>
      <c r="U642" s="119">
        <f t="shared" si="301"/>
        <v>0</v>
      </c>
      <c r="V642" s="119">
        <f t="shared" si="301"/>
        <v>0</v>
      </c>
      <c r="W642" s="119">
        <f t="shared" si="301"/>
        <v>0</v>
      </c>
      <c r="X642" s="119">
        <f t="shared" si="301"/>
        <v>0</v>
      </c>
      <c r="Y642" s="119">
        <f t="shared" si="301"/>
        <v>0</v>
      </c>
      <c r="Z642" s="119">
        <f t="shared" si="301"/>
        <v>0</v>
      </c>
      <c r="AA642" s="119">
        <f t="shared" si="301"/>
        <v>0</v>
      </c>
      <c r="AB642" s="119">
        <f t="shared" si="301"/>
        <v>0</v>
      </c>
      <c r="AC642" s="119">
        <f t="shared" si="301"/>
        <v>0</v>
      </c>
      <c r="AD642" s="119">
        <f t="shared" si="301"/>
        <v>0</v>
      </c>
      <c r="AE642" s="119">
        <f t="shared" si="301"/>
        <v>0</v>
      </c>
      <c r="AF642" s="119">
        <f t="shared" si="301"/>
        <v>0</v>
      </c>
      <c r="AG642" s="119">
        <f t="shared" si="301"/>
        <v>0</v>
      </c>
      <c r="AH642" s="119">
        <f t="shared" si="301"/>
        <v>0</v>
      </c>
      <c r="AI642" s="119">
        <f t="shared" si="301"/>
        <v>0</v>
      </c>
      <c r="AJ642" s="119">
        <f t="shared" si="301"/>
        <v>0</v>
      </c>
      <c r="AK642" s="119">
        <f t="shared" si="301"/>
        <v>0</v>
      </c>
      <c r="AL642" s="119">
        <f t="shared" si="301"/>
        <v>0</v>
      </c>
      <c r="AM642" s="119">
        <f t="shared" si="301"/>
        <v>0</v>
      </c>
      <c r="AN642" s="119">
        <f t="shared" si="301"/>
        <v>0</v>
      </c>
      <c r="AO642" s="119">
        <f t="shared" si="301"/>
        <v>0</v>
      </c>
      <c r="AP642" s="119">
        <f t="shared" si="301"/>
        <v>0</v>
      </c>
    </row>
    <row r="643" spans="1:42" x14ac:dyDescent="0.2">
      <c r="A643" s="18" t="str">
        <f>Inputs!B122</f>
        <v>Utility ($/kWh)</v>
      </c>
    </row>
    <row r="644" spans="1:42" x14ac:dyDescent="0.2">
      <c r="A644" s="22" t="s">
        <v>26</v>
      </c>
      <c r="C644" s="302">
        <f>IF(pbi_uti_amount="n/a",Inputs!D168,IF(AND(C$2&lt;=pbi_uti_term,C$2&lt;=analysis_period),pbi_uti_amount*(1+pbi_uti_escal/100)^B$2,0))</f>
        <v>0</v>
      </c>
      <c r="D644" s="302">
        <f>IF(pbi_uti_amount="n/a",Inputs!E168,IF(AND(D$2&lt;=pbi_uti_term,D$2&lt;=analysis_period),pbi_uti_amount*(1+pbi_uti_escal/100)^C$2,0))</f>
        <v>0</v>
      </c>
      <c r="E644" s="302">
        <f>IF(pbi_uti_amount="n/a",Inputs!F168,IF(AND(E$2&lt;=pbi_uti_term,E$2&lt;=analysis_period),pbi_uti_amount*(1+pbi_uti_escal/100)^D$2,0))</f>
        <v>0</v>
      </c>
      <c r="F644" s="302">
        <f>IF(pbi_uti_amount="n/a",Inputs!G168,IF(AND(F$2&lt;=pbi_uti_term,F$2&lt;=analysis_period),pbi_uti_amount*(1+pbi_uti_escal/100)^E$2,0))</f>
        <v>0</v>
      </c>
      <c r="G644" s="302">
        <f>IF(pbi_uti_amount="n/a",Inputs!H168,IF(AND(G$2&lt;=pbi_uti_term,G$2&lt;=analysis_period),pbi_uti_amount*(1+pbi_uti_escal/100)^F$2,0))</f>
        <v>0</v>
      </c>
      <c r="H644" s="302">
        <f>IF(pbi_uti_amount="n/a",Inputs!I168,IF(AND(H$2&lt;=pbi_uti_term,H$2&lt;=analysis_period),pbi_uti_amount*(1+pbi_uti_escal/100)^G$2,0))</f>
        <v>0</v>
      </c>
      <c r="I644" s="302">
        <f>IF(pbi_uti_amount="n/a",Inputs!J168,IF(AND(I$2&lt;=pbi_uti_term,I$2&lt;=analysis_period),pbi_uti_amount*(1+pbi_uti_escal/100)^H$2,0))</f>
        <v>0</v>
      </c>
      <c r="J644" s="302">
        <f>IF(pbi_uti_amount="n/a",Inputs!K168,IF(AND(J$2&lt;=pbi_uti_term,J$2&lt;=analysis_period),pbi_uti_amount*(1+pbi_uti_escal/100)^I$2,0))</f>
        <v>0</v>
      </c>
      <c r="K644" s="302">
        <f>IF(pbi_uti_amount="n/a",Inputs!L168,IF(AND(K$2&lt;=pbi_uti_term,K$2&lt;=analysis_period),pbi_uti_amount*(1+pbi_uti_escal/100)^J$2,0))</f>
        <v>0</v>
      </c>
      <c r="L644" s="302">
        <f>IF(pbi_uti_amount="n/a",Inputs!M168,IF(AND(L$2&lt;=pbi_uti_term,L$2&lt;=analysis_period),pbi_uti_amount*(1+pbi_uti_escal/100)^K$2,0))</f>
        <v>0</v>
      </c>
      <c r="M644" s="302">
        <f>IF(pbi_uti_amount="n/a",Inputs!N168,IF(AND(M$2&lt;=pbi_uti_term,M$2&lt;=analysis_period),pbi_uti_amount*(1+pbi_uti_escal/100)^L$2,0))</f>
        <v>0</v>
      </c>
      <c r="N644" s="302">
        <f>IF(pbi_uti_amount="n/a",Inputs!O168,IF(AND(N$2&lt;=pbi_uti_term,N$2&lt;=analysis_period),pbi_uti_amount*(1+pbi_uti_escal/100)^M$2,0))</f>
        <v>0</v>
      </c>
      <c r="O644" s="302">
        <f>IF(pbi_uti_amount="n/a",Inputs!P168,IF(AND(O$2&lt;=pbi_uti_term,O$2&lt;=analysis_period),pbi_uti_amount*(1+pbi_uti_escal/100)^N$2,0))</f>
        <v>0</v>
      </c>
      <c r="P644" s="302">
        <f>IF(pbi_uti_amount="n/a",Inputs!Q168,IF(AND(P$2&lt;=pbi_uti_term,P$2&lt;=analysis_period),pbi_uti_amount*(1+pbi_uti_escal/100)^O$2,0))</f>
        <v>0</v>
      </c>
      <c r="Q644" s="302">
        <f>IF(pbi_uti_amount="n/a",Inputs!R168,IF(AND(Q$2&lt;=pbi_uti_term,Q$2&lt;=analysis_period),pbi_uti_amount*(1+pbi_uti_escal/100)^P$2,0))</f>
        <v>0</v>
      </c>
      <c r="R644" s="302">
        <f>IF(pbi_uti_amount="n/a",Inputs!S168,IF(AND(R$2&lt;=pbi_uti_term,R$2&lt;=analysis_period),pbi_uti_amount*(1+pbi_uti_escal/100)^Q$2,0))</f>
        <v>0</v>
      </c>
      <c r="S644" s="302">
        <f>IF(pbi_uti_amount="n/a",Inputs!T168,IF(AND(S$2&lt;=pbi_uti_term,S$2&lt;=analysis_period),pbi_uti_amount*(1+pbi_uti_escal/100)^R$2,0))</f>
        <v>0</v>
      </c>
      <c r="T644" s="302">
        <f>IF(pbi_uti_amount="n/a",Inputs!U168,IF(AND(T$2&lt;=pbi_uti_term,T$2&lt;=analysis_period),pbi_uti_amount*(1+pbi_uti_escal/100)^S$2,0))</f>
        <v>0</v>
      </c>
      <c r="U644" s="302">
        <f>IF(pbi_uti_amount="n/a",Inputs!V168,IF(AND(U$2&lt;=pbi_uti_term,U$2&lt;=analysis_period),pbi_uti_amount*(1+pbi_uti_escal/100)^T$2,0))</f>
        <v>0</v>
      </c>
      <c r="V644" s="302">
        <f>IF(pbi_uti_amount="n/a",Inputs!W168,IF(AND(V$2&lt;=pbi_uti_term,V$2&lt;=analysis_period),pbi_uti_amount*(1+pbi_uti_escal/100)^U$2,0))</f>
        <v>0</v>
      </c>
      <c r="W644" s="302">
        <f>IF(pbi_uti_amount="n/a",Inputs!X168,IF(AND(W$2&lt;=pbi_uti_term,W$2&lt;=analysis_period),pbi_uti_amount*(1+pbi_uti_escal/100)^V$2,0))</f>
        <v>0</v>
      </c>
      <c r="X644" s="302">
        <f>IF(pbi_uti_amount="n/a",Inputs!Y168,IF(AND(X$2&lt;=pbi_uti_term,X$2&lt;=analysis_period),pbi_uti_amount*(1+pbi_uti_escal/100)^W$2,0))</f>
        <v>0</v>
      </c>
      <c r="Y644" s="302">
        <f>IF(pbi_uti_amount="n/a",Inputs!Z168,IF(AND(Y$2&lt;=pbi_uti_term,Y$2&lt;=analysis_period),pbi_uti_amount*(1+pbi_uti_escal/100)^X$2,0))</f>
        <v>0</v>
      </c>
      <c r="Z644" s="302">
        <f>IF(pbi_uti_amount="n/a",Inputs!AA168,IF(AND(Z$2&lt;=pbi_uti_term,Z$2&lt;=analysis_period),pbi_uti_amount*(1+pbi_uti_escal/100)^Y$2,0))</f>
        <v>0</v>
      </c>
      <c r="AA644" s="302">
        <f>IF(pbi_uti_amount="n/a",Inputs!AB168,IF(AND(AA$2&lt;=pbi_uti_term,AA$2&lt;=analysis_period),pbi_uti_amount*(1+pbi_uti_escal/100)^Z$2,0))</f>
        <v>0</v>
      </c>
      <c r="AB644" s="302">
        <f>IF(pbi_uti_amount="n/a",Inputs!AC168,IF(AND(AB$2&lt;=pbi_uti_term,AB$2&lt;=analysis_period),pbi_uti_amount*(1+pbi_uti_escal/100)^AA$2,0))</f>
        <v>0</v>
      </c>
      <c r="AC644" s="302">
        <f>IF(pbi_uti_amount="n/a",Inputs!AD168,IF(AND(AC$2&lt;=pbi_uti_term,AC$2&lt;=analysis_period),pbi_uti_amount*(1+pbi_uti_escal/100)^AB$2,0))</f>
        <v>0</v>
      </c>
      <c r="AD644" s="302">
        <f>IF(pbi_uti_amount="n/a",Inputs!AE168,IF(AND(AD$2&lt;=pbi_uti_term,AD$2&lt;=analysis_period),pbi_uti_amount*(1+pbi_uti_escal/100)^AC$2,0))</f>
        <v>0</v>
      </c>
      <c r="AE644" s="302">
        <f>IF(pbi_uti_amount="n/a",Inputs!AF168,IF(AND(AE$2&lt;=pbi_uti_term,AE$2&lt;=analysis_period),pbi_uti_amount*(1+pbi_uti_escal/100)^AD$2,0))</f>
        <v>0</v>
      </c>
      <c r="AF644" s="302">
        <f>IF(pbi_uti_amount="n/a",Inputs!AG168,IF(AND(AF$2&lt;=pbi_uti_term,AF$2&lt;=analysis_period),pbi_uti_amount*(1+pbi_uti_escal/100)^AE$2,0))</f>
        <v>0</v>
      </c>
      <c r="AG644" s="302">
        <f>IF(pbi_uti_amount="n/a",Inputs!AH168,IF(AND(AG$2&lt;=pbi_uti_term,AG$2&lt;=analysis_period),pbi_uti_amount*(1+pbi_uti_escal/100)^AF$2,0))</f>
        <v>0</v>
      </c>
      <c r="AH644" s="302">
        <f>IF(pbi_uti_amount="n/a",Inputs!AI168,IF(AND(AH$2&lt;=pbi_uti_term,AH$2&lt;=analysis_period),pbi_uti_amount*(1+pbi_uti_escal/100)^AG$2,0))</f>
        <v>0</v>
      </c>
      <c r="AI644" s="302">
        <f>IF(pbi_uti_amount="n/a",Inputs!AJ168,IF(AND(AI$2&lt;=pbi_uti_term,AI$2&lt;=analysis_period),pbi_uti_amount*(1+pbi_uti_escal/100)^AH$2,0))</f>
        <v>0</v>
      </c>
      <c r="AJ644" s="302">
        <f>IF(pbi_uti_amount="n/a",Inputs!AK168,IF(AND(AJ$2&lt;=pbi_uti_term,AJ$2&lt;=analysis_period),pbi_uti_amount*(1+pbi_uti_escal/100)^AI$2,0))</f>
        <v>0</v>
      </c>
      <c r="AK644" s="302">
        <f>IF(pbi_uti_amount="n/a",Inputs!AL168,IF(AND(AK$2&lt;=pbi_uti_term,AK$2&lt;=analysis_period),pbi_uti_amount*(1+pbi_uti_escal/100)^AJ$2,0))</f>
        <v>0</v>
      </c>
      <c r="AL644" s="302">
        <f>IF(pbi_uti_amount="n/a",Inputs!AM168,IF(AND(AL$2&lt;=pbi_uti_term,AL$2&lt;=analysis_period),pbi_uti_amount*(1+pbi_uti_escal/100)^AK$2,0))</f>
        <v>0</v>
      </c>
      <c r="AM644" s="302">
        <f>IF(pbi_uti_amount="n/a",Inputs!AN168,IF(AND(AM$2&lt;=pbi_uti_term,AM$2&lt;=analysis_period),pbi_uti_amount*(1+pbi_uti_escal/100)^AL$2,0))</f>
        <v>0</v>
      </c>
      <c r="AN644" s="302">
        <f>IF(pbi_uti_amount="n/a",Inputs!AO168,IF(AND(AN$2&lt;=pbi_uti_term,AN$2&lt;=analysis_period),pbi_uti_amount*(1+pbi_uti_escal/100)^AM$2,0))</f>
        <v>0</v>
      </c>
      <c r="AO644" s="302">
        <f>IF(pbi_uti_amount="n/a",Inputs!AP168,IF(AND(AO$2&lt;=pbi_uti_term,AO$2&lt;=analysis_period),pbi_uti_amount*(1+pbi_uti_escal/100)^AN$2,0))</f>
        <v>0</v>
      </c>
      <c r="AP644" s="302">
        <f>IF(pbi_uti_amount="n/a",Inputs!AQ168,IF(AND(AP$2&lt;=pbi_uti_term,AP$2&lt;=analysis_period),pbi_uti_amount*(1+pbi_uti_escal/100)^AO$2,0))</f>
        <v>0</v>
      </c>
    </row>
    <row r="645" spans="1:42" x14ac:dyDescent="0.2">
      <c r="A645" s="22" t="s">
        <v>27</v>
      </c>
      <c r="C645" s="120">
        <f>C$5</f>
        <v>211907000</v>
      </c>
      <c r="D645" s="120">
        <f t="shared" ref="D645:AP645" si="302">D$5</f>
        <v>210848000</v>
      </c>
      <c r="E645" s="120">
        <f t="shared" si="302"/>
        <v>209794000</v>
      </c>
      <c r="F645" s="120">
        <f t="shared" si="302"/>
        <v>208745000</v>
      </c>
      <c r="G645" s="120">
        <f t="shared" si="302"/>
        <v>207701000</v>
      </c>
      <c r="H645" s="120">
        <f t="shared" si="302"/>
        <v>206662000</v>
      </c>
      <c r="I645" s="120">
        <f t="shared" si="302"/>
        <v>205629000</v>
      </c>
      <c r="J645" s="120">
        <f t="shared" si="302"/>
        <v>204601000</v>
      </c>
      <c r="K645" s="120">
        <f t="shared" si="302"/>
        <v>203578000</v>
      </c>
      <c r="L645" s="120">
        <f t="shared" si="302"/>
        <v>202560000</v>
      </c>
      <c r="M645" s="120">
        <f t="shared" si="302"/>
        <v>201547000</v>
      </c>
      <c r="N645" s="120">
        <f t="shared" si="302"/>
        <v>200540000</v>
      </c>
      <c r="O645" s="120">
        <f t="shared" si="302"/>
        <v>199537000</v>
      </c>
      <c r="P645" s="120">
        <f t="shared" si="302"/>
        <v>198539000</v>
      </c>
      <c r="Q645" s="120">
        <f t="shared" si="302"/>
        <v>197547000</v>
      </c>
      <c r="R645" s="120">
        <f t="shared" si="302"/>
        <v>196559000</v>
      </c>
      <c r="S645" s="120">
        <f t="shared" si="302"/>
        <v>195576000</v>
      </c>
      <c r="T645" s="120">
        <f t="shared" si="302"/>
        <v>194598000</v>
      </c>
      <c r="U645" s="120">
        <f t="shared" si="302"/>
        <v>193625000</v>
      </c>
      <c r="V645" s="120">
        <f t="shared" si="302"/>
        <v>192657000</v>
      </c>
      <c r="W645" s="120">
        <f t="shared" si="302"/>
        <v>191694000</v>
      </c>
      <c r="X645" s="120">
        <f t="shared" si="302"/>
        <v>190735000</v>
      </c>
      <c r="Y645" s="120">
        <f t="shared" si="302"/>
        <v>189782000</v>
      </c>
      <c r="Z645" s="120">
        <f t="shared" si="302"/>
        <v>188833000</v>
      </c>
      <c r="AA645" s="120">
        <f t="shared" si="302"/>
        <v>187888000</v>
      </c>
      <c r="AB645" s="120">
        <f t="shared" si="302"/>
        <v>0</v>
      </c>
      <c r="AC645" s="120">
        <f t="shared" si="302"/>
        <v>0</v>
      </c>
      <c r="AD645" s="120">
        <f t="shared" si="302"/>
        <v>0</v>
      </c>
      <c r="AE645" s="120">
        <f t="shared" si="302"/>
        <v>0</v>
      </c>
      <c r="AF645" s="120">
        <f t="shared" si="302"/>
        <v>0</v>
      </c>
      <c r="AG645" s="120">
        <f t="shared" si="302"/>
        <v>0</v>
      </c>
      <c r="AH645" s="120">
        <f t="shared" si="302"/>
        <v>0</v>
      </c>
      <c r="AI645" s="120">
        <f t="shared" si="302"/>
        <v>0</v>
      </c>
      <c r="AJ645" s="120">
        <f t="shared" si="302"/>
        <v>0</v>
      </c>
      <c r="AK645" s="120">
        <f t="shared" si="302"/>
        <v>0</v>
      </c>
      <c r="AL645" s="120">
        <f t="shared" si="302"/>
        <v>0</v>
      </c>
      <c r="AM645" s="120">
        <f t="shared" si="302"/>
        <v>0</v>
      </c>
      <c r="AN645" s="120">
        <f t="shared" si="302"/>
        <v>0</v>
      </c>
      <c r="AO645" s="120">
        <f t="shared" si="302"/>
        <v>0</v>
      </c>
      <c r="AP645" s="120">
        <f t="shared" si="302"/>
        <v>0</v>
      </c>
    </row>
    <row r="646" spans="1:42" x14ac:dyDescent="0.2">
      <c r="A646" s="22" t="s">
        <v>13</v>
      </c>
      <c r="C646" s="119">
        <f>C644*C645</f>
        <v>0</v>
      </c>
      <c r="D646" s="119">
        <f t="shared" ref="D646:AP646" si="303">D644*D645</f>
        <v>0</v>
      </c>
      <c r="E646" s="119">
        <f t="shared" si="303"/>
        <v>0</v>
      </c>
      <c r="F646" s="119">
        <f t="shared" si="303"/>
        <v>0</v>
      </c>
      <c r="G646" s="119">
        <f t="shared" si="303"/>
        <v>0</v>
      </c>
      <c r="H646" s="119">
        <f t="shared" si="303"/>
        <v>0</v>
      </c>
      <c r="I646" s="119">
        <f t="shared" si="303"/>
        <v>0</v>
      </c>
      <c r="J646" s="119">
        <f t="shared" si="303"/>
        <v>0</v>
      </c>
      <c r="K646" s="119">
        <f t="shared" si="303"/>
        <v>0</v>
      </c>
      <c r="L646" s="119">
        <f t="shared" si="303"/>
        <v>0</v>
      </c>
      <c r="M646" s="119">
        <f t="shared" si="303"/>
        <v>0</v>
      </c>
      <c r="N646" s="119">
        <f t="shared" si="303"/>
        <v>0</v>
      </c>
      <c r="O646" s="119">
        <f t="shared" si="303"/>
        <v>0</v>
      </c>
      <c r="P646" s="119">
        <f t="shared" si="303"/>
        <v>0</v>
      </c>
      <c r="Q646" s="119">
        <f t="shared" si="303"/>
        <v>0</v>
      </c>
      <c r="R646" s="119">
        <f t="shared" si="303"/>
        <v>0</v>
      </c>
      <c r="S646" s="119">
        <f t="shared" si="303"/>
        <v>0</v>
      </c>
      <c r="T646" s="119">
        <f t="shared" si="303"/>
        <v>0</v>
      </c>
      <c r="U646" s="119">
        <f t="shared" si="303"/>
        <v>0</v>
      </c>
      <c r="V646" s="119">
        <f t="shared" si="303"/>
        <v>0</v>
      </c>
      <c r="W646" s="119">
        <f t="shared" si="303"/>
        <v>0</v>
      </c>
      <c r="X646" s="119">
        <f t="shared" si="303"/>
        <v>0</v>
      </c>
      <c r="Y646" s="119">
        <f t="shared" si="303"/>
        <v>0</v>
      </c>
      <c r="Z646" s="119">
        <f t="shared" si="303"/>
        <v>0</v>
      </c>
      <c r="AA646" s="119">
        <f t="shared" si="303"/>
        <v>0</v>
      </c>
      <c r="AB646" s="119">
        <f t="shared" si="303"/>
        <v>0</v>
      </c>
      <c r="AC646" s="119">
        <f t="shared" si="303"/>
        <v>0</v>
      </c>
      <c r="AD646" s="119">
        <f t="shared" si="303"/>
        <v>0</v>
      </c>
      <c r="AE646" s="119">
        <f t="shared" si="303"/>
        <v>0</v>
      </c>
      <c r="AF646" s="119">
        <f t="shared" si="303"/>
        <v>0</v>
      </c>
      <c r="AG646" s="119">
        <f t="shared" si="303"/>
        <v>0</v>
      </c>
      <c r="AH646" s="119">
        <f t="shared" si="303"/>
        <v>0</v>
      </c>
      <c r="AI646" s="119">
        <f t="shared" si="303"/>
        <v>0</v>
      </c>
      <c r="AJ646" s="119">
        <f t="shared" si="303"/>
        <v>0</v>
      </c>
      <c r="AK646" s="119">
        <f t="shared" si="303"/>
        <v>0</v>
      </c>
      <c r="AL646" s="119">
        <f t="shared" si="303"/>
        <v>0</v>
      </c>
      <c r="AM646" s="119">
        <f t="shared" si="303"/>
        <v>0</v>
      </c>
      <c r="AN646" s="119">
        <f t="shared" si="303"/>
        <v>0</v>
      </c>
      <c r="AO646" s="119">
        <f t="shared" si="303"/>
        <v>0</v>
      </c>
      <c r="AP646" s="119">
        <f t="shared" si="303"/>
        <v>0</v>
      </c>
    </row>
    <row r="647" spans="1:42" x14ac:dyDescent="0.2">
      <c r="A647" s="18" t="str">
        <f>Inputs!B123</f>
        <v>Other ($/kWh)</v>
      </c>
    </row>
    <row r="648" spans="1:42" x14ac:dyDescent="0.2">
      <c r="A648" s="22" t="s">
        <v>26</v>
      </c>
      <c r="C648" s="302">
        <f>IF(pbi_oth_amount="n/a",Inputs!D169,IF(AND(C$2&lt;=pbi_oth_term,C$2&lt;=analysis_period),pbi_oth_amount*(1+pbi_oth_escal/100)^B$2,0))</f>
        <v>0</v>
      </c>
      <c r="D648" s="302">
        <f>IF(pbi_oth_amount="n/a",Inputs!E169,IF(AND(D$2&lt;=pbi_oth_term,D$2&lt;=analysis_period),pbi_oth_amount*(1+pbi_oth_escal/100)^C$2,0))</f>
        <v>0</v>
      </c>
      <c r="E648" s="302">
        <f>IF(pbi_oth_amount="n/a",Inputs!F169,IF(AND(E$2&lt;=pbi_oth_term,E$2&lt;=analysis_period),pbi_oth_amount*(1+pbi_oth_escal/100)^D$2,0))</f>
        <v>0</v>
      </c>
      <c r="F648" s="302">
        <f>IF(pbi_oth_amount="n/a",Inputs!G169,IF(AND(F$2&lt;=pbi_oth_term,F$2&lt;=analysis_period),pbi_oth_amount*(1+pbi_oth_escal/100)^E$2,0))</f>
        <v>0</v>
      </c>
      <c r="G648" s="302">
        <f>IF(pbi_oth_amount="n/a",Inputs!H169,IF(AND(G$2&lt;=pbi_oth_term,G$2&lt;=analysis_period),pbi_oth_amount*(1+pbi_oth_escal/100)^F$2,0))</f>
        <v>0</v>
      </c>
      <c r="H648" s="302">
        <f>IF(pbi_oth_amount="n/a",Inputs!I169,IF(AND(H$2&lt;=pbi_oth_term,H$2&lt;=analysis_period),pbi_oth_amount*(1+pbi_oth_escal/100)^G$2,0))</f>
        <v>0</v>
      </c>
      <c r="I648" s="302">
        <f>IF(pbi_oth_amount="n/a",Inputs!J169,IF(AND(I$2&lt;=pbi_oth_term,I$2&lt;=analysis_period),pbi_oth_amount*(1+pbi_oth_escal/100)^H$2,0))</f>
        <v>0</v>
      </c>
      <c r="J648" s="302">
        <f>IF(pbi_oth_amount="n/a",Inputs!K169,IF(AND(J$2&lt;=pbi_oth_term,J$2&lt;=analysis_period),pbi_oth_amount*(1+pbi_oth_escal/100)^I$2,0))</f>
        <v>0</v>
      </c>
      <c r="K648" s="302">
        <f>IF(pbi_oth_amount="n/a",Inputs!L169,IF(AND(K$2&lt;=pbi_oth_term,K$2&lt;=analysis_period),pbi_oth_amount*(1+pbi_oth_escal/100)^J$2,0))</f>
        <v>0</v>
      </c>
      <c r="L648" s="302">
        <f>IF(pbi_oth_amount="n/a",Inputs!M169,IF(AND(L$2&lt;=pbi_oth_term,L$2&lt;=analysis_period),pbi_oth_amount*(1+pbi_oth_escal/100)^K$2,0))</f>
        <v>0</v>
      </c>
      <c r="M648" s="302">
        <f>IF(pbi_oth_amount="n/a",Inputs!N169,IF(AND(M$2&lt;=pbi_oth_term,M$2&lt;=analysis_period),pbi_oth_amount*(1+pbi_oth_escal/100)^L$2,0))</f>
        <v>0</v>
      </c>
      <c r="N648" s="302">
        <f>IF(pbi_oth_amount="n/a",Inputs!O169,IF(AND(N$2&lt;=pbi_oth_term,N$2&lt;=analysis_period),pbi_oth_amount*(1+pbi_oth_escal/100)^M$2,0))</f>
        <v>0</v>
      </c>
      <c r="O648" s="302">
        <f>IF(pbi_oth_amount="n/a",Inputs!P169,IF(AND(O$2&lt;=pbi_oth_term,O$2&lt;=analysis_period),pbi_oth_amount*(1+pbi_oth_escal/100)^N$2,0))</f>
        <v>0</v>
      </c>
      <c r="P648" s="302">
        <f>IF(pbi_oth_amount="n/a",Inputs!Q169,IF(AND(P$2&lt;=pbi_oth_term,P$2&lt;=analysis_period),pbi_oth_amount*(1+pbi_oth_escal/100)^O$2,0))</f>
        <v>0</v>
      </c>
      <c r="Q648" s="302">
        <f>IF(pbi_oth_amount="n/a",Inputs!R169,IF(AND(Q$2&lt;=pbi_oth_term,Q$2&lt;=analysis_period),pbi_oth_amount*(1+pbi_oth_escal/100)^P$2,0))</f>
        <v>0</v>
      </c>
      <c r="R648" s="302">
        <f>IF(pbi_oth_amount="n/a",Inputs!S169,IF(AND(R$2&lt;=pbi_oth_term,R$2&lt;=analysis_period),pbi_oth_amount*(1+pbi_oth_escal/100)^Q$2,0))</f>
        <v>0</v>
      </c>
      <c r="S648" s="302">
        <f>IF(pbi_oth_amount="n/a",Inputs!T169,IF(AND(S$2&lt;=pbi_oth_term,S$2&lt;=analysis_period),pbi_oth_amount*(1+pbi_oth_escal/100)^R$2,0))</f>
        <v>0</v>
      </c>
      <c r="T648" s="302">
        <f>IF(pbi_oth_amount="n/a",Inputs!U169,IF(AND(T$2&lt;=pbi_oth_term,T$2&lt;=analysis_period),pbi_oth_amount*(1+pbi_oth_escal/100)^S$2,0))</f>
        <v>0</v>
      </c>
      <c r="U648" s="302">
        <f>IF(pbi_oth_amount="n/a",Inputs!V169,IF(AND(U$2&lt;=pbi_oth_term,U$2&lt;=analysis_period),pbi_oth_amount*(1+pbi_oth_escal/100)^T$2,0))</f>
        <v>0</v>
      </c>
      <c r="V648" s="302">
        <f>IF(pbi_oth_amount="n/a",Inputs!W169,IF(AND(V$2&lt;=pbi_oth_term,V$2&lt;=analysis_period),pbi_oth_amount*(1+pbi_oth_escal/100)^U$2,0))</f>
        <v>0</v>
      </c>
      <c r="W648" s="302">
        <f>IF(pbi_oth_amount="n/a",Inputs!X169,IF(AND(W$2&lt;=pbi_oth_term,W$2&lt;=analysis_period),pbi_oth_amount*(1+pbi_oth_escal/100)^V$2,0))</f>
        <v>0</v>
      </c>
      <c r="X648" s="302">
        <f>IF(pbi_oth_amount="n/a",Inputs!Y169,IF(AND(X$2&lt;=pbi_oth_term,X$2&lt;=analysis_period),pbi_oth_amount*(1+pbi_oth_escal/100)^W$2,0))</f>
        <v>0</v>
      </c>
      <c r="Y648" s="302">
        <f>IF(pbi_oth_amount="n/a",Inputs!Z169,IF(AND(Y$2&lt;=pbi_oth_term,Y$2&lt;=analysis_period),pbi_oth_amount*(1+pbi_oth_escal/100)^X$2,0))</f>
        <v>0</v>
      </c>
      <c r="Z648" s="302">
        <f>IF(pbi_oth_amount="n/a",Inputs!AA169,IF(AND(Z$2&lt;=pbi_oth_term,Z$2&lt;=analysis_period),pbi_oth_amount*(1+pbi_oth_escal/100)^Y$2,0))</f>
        <v>0</v>
      </c>
      <c r="AA648" s="302">
        <f>IF(pbi_oth_amount="n/a",Inputs!AB169,IF(AND(AA$2&lt;=pbi_oth_term,AA$2&lt;=analysis_period),pbi_oth_amount*(1+pbi_oth_escal/100)^Z$2,0))</f>
        <v>0</v>
      </c>
      <c r="AB648" s="302">
        <f>IF(pbi_oth_amount="n/a",Inputs!AC169,IF(AND(AB$2&lt;=pbi_oth_term,AB$2&lt;=analysis_period),pbi_oth_amount*(1+pbi_oth_escal/100)^AA$2,0))</f>
        <v>0</v>
      </c>
      <c r="AC648" s="302">
        <f>IF(pbi_oth_amount="n/a",Inputs!AD169,IF(AND(AC$2&lt;=pbi_oth_term,AC$2&lt;=analysis_period),pbi_oth_amount*(1+pbi_oth_escal/100)^AB$2,0))</f>
        <v>0</v>
      </c>
      <c r="AD648" s="302">
        <f>IF(pbi_oth_amount="n/a",Inputs!AE169,IF(AND(AD$2&lt;=pbi_oth_term,AD$2&lt;=analysis_period),pbi_oth_amount*(1+pbi_oth_escal/100)^AC$2,0))</f>
        <v>0</v>
      </c>
      <c r="AE648" s="302">
        <f>IF(pbi_oth_amount="n/a",Inputs!AF169,IF(AND(AE$2&lt;=pbi_oth_term,AE$2&lt;=analysis_period),pbi_oth_amount*(1+pbi_oth_escal/100)^AD$2,0))</f>
        <v>0</v>
      </c>
      <c r="AF648" s="302">
        <f>IF(pbi_oth_amount="n/a",Inputs!AG169,IF(AND(AF$2&lt;=pbi_oth_term,AF$2&lt;=analysis_period),pbi_oth_amount*(1+pbi_oth_escal/100)^AE$2,0))</f>
        <v>0</v>
      </c>
      <c r="AG648" s="302">
        <f>IF(pbi_oth_amount="n/a",Inputs!AH169,IF(AND(AG$2&lt;=pbi_oth_term,AG$2&lt;=analysis_period),pbi_oth_amount*(1+pbi_oth_escal/100)^AF$2,0))</f>
        <v>0</v>
      </c>
      <c r="AH648" s="302">
        <f>IF(pbi_oth_amount="n/a",Inputs!AI169,IF(AND(AH$2&lt;=pbi_oth_term,AH$2&lt;=analysis_period),pbi_oth_amount*(1+pbi_oth_escal/100)^AG$2,0))</f>
        <v>0</v>
      </c>
      <c r="AI648" s="302">
        <f>IF(pbi_oth_amount="n/a",Inputs!AJ169,IF(AND(AI$2&lt;=pbi_oth_term,AI$2&lt;=analysis_period),pbi_oth_amount*(1+pbi_oth_escal/100)^AH$2,0))</f>
        <v>0</v>
      </c>
      <c r="AJ648" s="302">
        <f>IF(pbi_oth_amount="n/a",Inputs!AK169,IF(AND(AJ$2&lt;=pbi_oth_term,AJ$2&lt;=analysis_period),pbi_oth_amount*(1+pbi_oth_escal/100)^AI$2,0))</f>
        <v>0</v>
      </c>
      <c r="AK648" s="302">
        <f>IF(pbi_oth_amount="n/a",Inputs!AL169,IF(AND(AK$2&lt;=pbi_oth_term,AK$2&lt;=analysis_period),pbi_oth_amount*(1+pbi_oth_escal/100)^AJ$2,0))</f>
        <v>0</v>
      </c>
      <c r="AL648" s="302">
        <f>IF(pbi_oth_amount="n/a",Inputs!AM169,IF(AND(AL$2&lt;=pbi_oth_term,AL$2&lt;=analysis_period),pbi_oth_amount*(1+pbi_oth_escal/100)^AK$2,0))</f>
        <v>0</v>
      </c>
      <c r="AM648" s="302">
        <f>IF(pbi_oth_amount="n/a",Inputs!AN169,IF(AND(AM$2&lt;=pbi_oth_term,AM$2&lt;=analysis_period),pbi_oth_amount*(1+pbi_oth_escal/100)^AL$2,0))</f>
        <v>0</v>
      </c>
      <c r="AN648" s="302">
        <f>IF(pbi_oth_amount="n/a",Inputs!AO169,IF(AND(AN$2&lt;=pbi_oth_term,AN$2&lt;=analysis_period),pbi_oth_amount*(1+pbi_oth_escal/100)^AM$2,0))</f>
        <v>0</v>
      </c>
      <c r="AO648" s="302">
        <f>IF(pbi_oth_amount="n/a",Inputs!AP169,IF(AND(AO$2&lt;=pbi_oth_term,AO$2&lt;=analysis_period),pbi_oth_amount*(1+pbi_oth_escal/100)^AN$2,0))</f>
        <v>0</v>
      </c>
      <c r="AP648" s="302">
        <f>IF(pbi_oth_amount="n/a",Inputs!AQ169,IF(AND(AP$2&lt;=pbi_oth_term,AP$2&lt;=analysis_period),pbi_oth_amount*(1+pbi_oth_escal/100)^AO$2,0))</f>
        <v>0</v>
      </c>
    </row>
    <row r="649" spans="1:42" x14ac:dyDescent="0.2">
      <c r="A649" s="22" t="s">
        <v>27</v>
      </c>
      <c r="C649" s="120">
        <f>C$5</f>
        <v>211907000</v>
      </c>
      <c r="D649" s="120">
        <f t="shared" ref="D649:AP649" si="304">D$5</f>
        <v>210848000</v>
      </c>
      <c r="E649" s="120">
        <f t="shared" si="304"/>
        <v>209794000</v>
      </c>
      <c r="F649" s="120">
        <f t="shared" si="304"/>
        <v>208745000</v>
      </c>
      <c r="G649" s="120">
        <f t="shared" si="304"/>
        <v>207701000</v>
      </c>
      <c r="H649" s="120">
        <f t="shared" si="304"/>
        <v>206662000</v>
      </c>
      <c r="I649" s="120">
        <f t="shared" si="304"/>
        <v>205629000</v>
      </c>
      <c r="J649" s="120">
        <f t="shared" si="304"/>
        <v>204601000</v>
      </c>
      <c r="K649" s="120">
        <f t="shared" si="304"/>
        <v>203578000</v>
      </c>
      <c r="L649" s="120">
        <f t="shared" si="304"/>
        <v>202560000</v>
      </c>
      <c r="M649" s="120">
        <f t="shared" si="304"/>
        <v>201547000</v>
      </c>
      <c r="N649" s="120">
        <f t="shared" si="304"/>
        <v>200540000</v>
      </c>
      <c r="O649" s="120">
        <f t="shared" si="304"/>
        <v>199537000</v>
      </c>
      <c r="P649" s="120">
        <f t="shared" si="304"/>
        <v>198539000</v>
      </c>
      <c r="Q649" s="120">
        <f t="shared" si="304"/>
        <v>197547000</v>
      </c>
      <c r="R649" s="120">
        <f t="shared" si="304"/>
        <v>196559000</v>
      </c>
      <c r="S649" s="120">
        <f t="shared" si="304"/>
        <v>195576000</v>
      </c>
      <c r="T649" s="120">
        <f t="shared" si="304"/>
        <v>194598000</v>
      </c>
      <c r="U649" s="120">
        <f t="shared" si="304"/>
        <v>193625000</v>
      </c>
      <c r="V649" s="120">
        <f t="shared" si="304"/>
        <v>192657000</v>
      </c>
      <c r="W649" s="120">
        <f t="shared" si="304"/>
        <v>191694000</v>
      </c>
      <c r="X649" s="120">
        <f t="shared" si="304"/>
        <v>190735000</v>
      </c>
      <c r="Y649" s="120">
        <f t="shared" si="304"/>
        <v>189782000</v>
      </c>
      <c r="Z649" s="120">
        <f t="shared" si="304"/>
        <v>188833000</v>
      </c>
      <c r="AA649" s="120">
        <f t="shared" si="304"/>
        <v>187888000</v>
      </c>
      <c r="AB649" s="120">
        <f t="shared" si="304"/>
        <v>0</v>
      </c>
      <c r="AC649" s="120">
        <f t="shared" si="304"/>
        <v>0</v>
      </c>
      <c r="AD649" s="120">
        <f t="shared" si="304"/>
        <v>0</v>
      </c>
      <c r="AE649" s="120">
        <f t="shared" si="304"/>
        <v>0</v>
      </c>
      <c r="AF649" s="120">
        <f t="shared" si="304"/>
        <v>0</v>
      </c>
      <c r="AG649" s="120">
        <f t="shared" si="304"/>
        <v>0</v>
      </c>
      <c r="AH649" s="120">
        <f t="shared" si="304"/>
        <v>0</v>
      </c>
      <c r="AI649" s="120">
        <f t="shared" si="304"/>
        <v>0</v>
      </c>
      <c r="AJ649" s="120">
        <f t="shared" si="304"/>
        <v>0</v>
      </c>
      <c r="AK649" s="120">
        <f t="shared" si="304"/>
        <v>0</v>
      </c>
      <c r="AL649" s="120">
        <f t="shared" si="304"/>
        <v>0</v>
      </c>
      <c r="AM649" s="120">
        <f t="shared" si="304"/>
        <v>0</v>
      </c>
      <c r="AN649" s="120">
        <f t="shared" si="304"/>
        <v>0</v>
      </c>
      <c r="AO649" s="120">
        <f t="shared" si="304"/>
        <v>0</v>
      </c>
      <c r="AP649" s="120">
        <f t="shared" si="304"/>
        <v>0</v>
      </c>
    </row>
    <row r="650" spans="1:42" x14ac:dyDescent="0.2">
      <c r="A650" s="22" t="s">
        <v>13</v>
      </c>
      <c r="C650" s="119">
        <f>C648*C649</f>
        <v>0</v>
      </c>
      <c r="D650" s="119">
        <f t="shared" ref="D650:AP650" si="305">D648*D649</f>
        <v>0</v>
      </c>
      <c r="E650" s="119">
        <f t="shared" si="305"/>
        <v>0</v>
      </c>
      <c r="F650" s="119">
        <f t="shared" si="305"/>
        <v>0</v>
      </c>
      <c r="G650" s="119">
        <f t="shared" si="305"/>
        <v>0</v>
      </c>
      <c r="H650" s="119">
        <f t="shared" si="305"/>
        <v>0</v>
      </c>
      <c r="I650" s="119">
        <f t="shared" si="305"/>
        <v>0</v>
      </c>
      <c r="J650" s="119">
        <f t="shared" si="305"/>
        <v>0</v>
      </c>
      <c r="K650" s="119">
        <f t="shared" si="305"/>
        <v>0</v>
      </c>
      <c r="L650" s="119">
        <f t="shared" si="305"/>
        <v>0</v>
      </c>
      <c r="M650" s="119">
        <f t="shared" si="305"/>
        <v>0</v>
      </c>
      <c r="N650" s="119">
        <f t="shared" si="305"/>
        <v>0</v>
      </c>
      <c r="O650" s="119">
        <f t="shared" si="305"/>
        <v>0</v>
      </c>
      <c r="P650" s="119">
        <f t="shared" si="305"/>
        <v>0</v>
      </c>
      <c r="Q650" s="119">
        <f t="shared" si="305"/>
        <v>0</v>
      </c>
      <c r="R650" s="119">
        <f t="shared" si="305"/>
        <v>0</v>
      </c>
      <c r="S650" s="119">
        <f t="shared" si="305"/>
        <v>0</v>
      </c>
      <c r="T650" s="119">
        <f t="shared" si="305"/>
        <v>0</v>
      </c>
      <c r="U650" s="119">
        <f t="shared" si="305"/>
        <v>0</v>
      </c>
      <c r="V650" s="119">
        <f t="shared" si="305"/>
        <v>0</v>
      </c>
      <c r="W650" s="119">
        <f t="shared" si="305"/>
        <v>0</v>
      </c>
      <c r="X650" s="119">
        <f t="shared" si="305"/>
        <v>0</v>
      </c>
      <c r="Y650" s="119">
        <f t="shared" si="305"/>
        <v>0</v>
      </c>
      <c r="Z650" s="119">
        <f t="shared" si="305"/>
        <v>0</v>
      </c>
      <c r="AA650" s="119">
        <f t="shared" si="305"/>
        <v>0</v>
      </c>
      <c r="AB650" s="119">
        <f t="shared" si="305"/>
        <v>0</v>
      </c>
      <c r="AC650" s="119">
        <f t="shared" si="305"/>
        <v>0</v>
      </c>
      <c r="AD650" s="119">
        <f t="shared" si="305"/>
        <v>0</v>
      </c>
      <c r="AE650" s="119">
        <f t="shared" si="305"/>
        <v>0</v>
      </c>
      <c r="AF650" s="119">
        <f t="shared" si="305"/>
        <v>0</v>
      </c>
      <c r="AG650" s="119">
        <f t="shared" si="305"/>
        <v>0</v>
      </c>
      <c r="AH650" s="119">
        <f t="shared" si="305"/>
        <v>0</v>
      </c>
      <c r="AI650" s="119">
        <f t="shared" si="305"/>
        <v>0</v>
      </c>
      <c r="AJ650" s="119">
        <f t="shared" si="305"/>
        <v>0</v>
      </c>
      <c r="AK650" s="119">
        <f t="shared" si="305"/>
        <v>0</v>
      </c>
      <c r="AL650" s="119">
        <f t="shared" si="305"/>
        <v>0</v>
      </c>
      <c r="AM650" s="119">
        <f t="shared" si="305"/>
        <v>0</v>
      </c>
      <c r="AN650" s="119">
        <f t="shared" si="305"/>
        <v>0</v>
      </c>
      <c r="AO650" s="119">
        <f t="shared" si="305"/>
        <v>0</v>
      </c>
      <c r="AP650" s="119">
        <f t="shared" si="305"/>
        <v>0</v>
      </c>
    </row>
    <row r="651" spans="1:42" x14ac:dyDescent="0.2">
      <c r="A651" s="284" t="s">
        <v>20</v>
      </c>
      <c r="B651" s="284"/>
      <c r="C651" s="148">
        <f>C638+C642+C646+C650</f>
        <v>0</v>
      </c>
      <c r="D651" s="148">
        <f t="shared" ref="D651:AP651" si="306">D638+D642+D646+D650</f>
        <v>0</v>
      </c>
      <c r="E651" s="148">
        <f t="shared" si="306"/>
        <v>0</v>
      </c>
      <c r="F651" s="148">
        <f t="shared" si="306"/>
        <v>0</v>
      </c>
      <c r="G651" s="148">
        <f t="shared" si="306"/>
        <v>0</v>
      </c>
      <c r="H651" s="148">
        <f t="shared" si="306"/>
        <v>0</v>
      </c>
      <c r="I651" s="148">
        <f t="shared" si="306"/>
        <v>0</v>
      </c>
      <c r="J651" s="148">
        <f t="shared" si="306"/>
        <v>0</v>
      </c>
      <c r="K651" s="148">
        <f t="shared" si="306"/>
        <v>0</v>
      </c>
      <c r="L651" s="148">
        <f t="shared" si="306"/>
        <v>0</v>
      </c>
      <c r="M651" s="148">
        <f t="shared" si="306"/>
        <v>0</v>
      </c>
      <c r="N651" s="148">
        <f t="shared" si="306"/>
        <v>0</v>
      </c>
      <c r="O651" s="148">
        <f t="shared" si="306"/>
        <v>0</v>
      </c>
      <c r="P651" s="148">
        <f t="shared" si="306"/>
        <v>0</v>
      </c>
      <c r="Q651" s="148">
        <f t="shared" si="306"/>
        <v>0</v>
      </c>
      <c r="R651" s="148">
        <f t="shared" si="306"/>
        <v>0</v>
      </c>
      <c r="S651" s="148">
        <f t="shared" si="306"/>
        <v>0</v>
      </c>
      <c r="T651" s="148">
        <f t="shared" si="306"/>
        <v>0</v>
      </c>
      <c r="U651" s="148">
        <f t="shared" si="306"/>
        <v>0</v>
      </c>
      <c r="V651" s="148">
        <f t="shared" si="306"/>
        <v>0</v>
      </c>
      <c r="W651" s="148">
        <f t="shared" si="306"/>
        <v>0</v>
      </c>
      <c r="X651" s="148">
        <f t="shared" si="306"/>
        <v>0</v>
      </c>
      <c r="Y651" s="148">
        <f t="shared" si="306"/>
        <v>0</v>
      </c>
      <c r="Z651" s="148">
        <f t="shared" si="306"/>
        <v>0</v>
      </c>
      <c r="AA651" s="148">
        <f t="shared" si="306"/>
        <v>0</v>
      </c>
      <c r="AB651" s="148">
        <f t="shared" si="306"/>
        <v>0</v>
      </c>
      <c r="AC651" s="148">
        <f t="shared" si="306"/>
        <v>0</v>
      </c>
      <c r="AD651" s="148">
        <f t="shared" si="306"/>
        <v>0</v>
      </c>
      <c r="AE651" s="148">
        <f t="shared" si="306"/>
        <v>0</v>
      </c>
      <c r="AF651" s="148">
        <f t="shared" si="306"/>
        <v>0</v>
      </c>
      <c r="AG651" s="148">
        <f t="shared" si="306"/>
        <v>0</v>
      </c>
      <c r="AH651" s="148">
        <f t="shared" si="306"/>
        <v>0</v>
      </c>
      <c r="AI651" s="148">
        <f t="shared" si="306"/>
        <v>0</v>
      </c>
      <c r="AJ651" s="148">
        <f t="shared" si="306"/>
        <v>0</v>
      </c>
      <c r="AK651" s="148">
        <f t="shared" si="306"/>
        <v>0</v>
      </c>
      <c r="AL651" s="148">
        <f t="shared" si="306"/>
        <v>0</v>
      </c>
      <c r="AM651" s="148">
        <f t="shared" si="306"/>
        <v>0</v>
      </c>
      <c r="AN651" s="148">
        <f t="shared" si="306"/>
        <v>0</v>
      </c>
      <c r="AO651" s="148">
        <f t="shared" si="306"/>
        <v>0</v>
      </c>
      <c r="AP651" s="148">
        <f t="shared" si="306"/>
        <v>0</v>
      </c>
    </row>
    <row r="652" spans="1:42" x14ac:dyDescent="0.2">
      <c r="A652" s="23"/>
      <c r="B652" s="183"/>
    </row>
    <row r="653" spans="1:42" x14ac:dyDescent="0.2">
      <c r="A653" s="82" t="s">
        <v>59</v>
      </c>
      <c r="B653" s="213"/>
      <c r="C653" s="213"/>
      <c r="D653" s="213"/>
      <c r="E653" s="213"/>
      <c r="F653" s="213"/>
      <c r="G653" s="213"/>
      <c r="H653" s="213"/>
      <c r="I653" s="213"/>
      <c r="J653" s="213"/>
      <c r="K653" s="213"/>
      <c r="L653" s="213"/>
      <c r="M653" s="213"/>
      <c r="N653" s="213"/>
      <c r="O653" s="213"/>
      <c r="P653" s="213"/>
      <c r="Q653" s="213"/>
      <c r="R653" s="213"/>
      <c r="S653" s="213"/>
      <c r="T653" s="213"/>
      <c r="U653" s="213"/>
      <c r="V653" s="213"/>
      <c r="W653" s="213"/>
      <c r="X653" s="213"/>
      <c r="Y653" s="213"/>
      <c r="Z653" s="213"/>
      <c r="AA653" s="213"/>
      <c r="AB653" s="213"/>
      <c r="AC653" s="213"/>
      <c r="AD653" s="213"/>
      <c r="AE653" s="213"/>
      <c r="AF653" s="213"/>
      <c r="AG653" s="213"/>
      <c r="AH653" s="213"/>
      <c r="AI653" s="213"/>
      <c r="AJ653" s="213"/>
      <c r="AK653" s="213"/>
      <c r="AL653" s="213"/>
      <c r="AM653" s="213"/>
      <c r="AN653" s="213"/>
      <c r="AO653" s="213"/>
      <c r="AP653" s="213"/>
    </row>
    <row r="654" spans="1:42" x14ac:dyDescent="0.2">
      <c r="A654" s="20" t="s">
        <v>223</v>
      </c>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row>
    <row r="655" spans="1:42" x14ac:dyDescent="0.2">
      <c r="A655" s="4" t="s">
        <v>224</v>
      </c>
      <c r="B655" s="159">
        <v>0</v>
      </c>
      <c r="C655" s="159">
        <f>B658</f>
        <v>750000</v>
      </c>
      <c r="D655" s="159">
        <f t="shared" ref="D655:AP655" si="307">C658</f>
        <v>768750</v>
      </c>
      <c r="E655" s="159">
        <f t="shared" si="307"/>
        <v>787968.75</v>
      </c>
      <c r="F655" s="159">
        <f t="shared" si="307"/>
        <v>807667.96875</v>
      </c>
      <c r="G655" s="159">
        <f t="shared" si="307"/>
        <v>827859.66796874977</v>
      </c>
      <c r="H655" s="159">
        <f t="shared" si="307"/>
        <v>848556.15966796828</v>
      </c>
      <c r="I655" s="159">
        <f t="shared" si="307"/>
        <v>869770.06365966774</v>
      </c>
      <c r="J655" s="159">
        <f t="shared" si="307"/>
        <v>891514.31525115948</v>
      </c>
      <c r="K655" s="159">
        <f t="shared" si="307"/>
        <v>913802.17313243821</v>
      </c>
      <c r="L655" s="159">
        <f t="shared" si="307"/>
        <v>936647.22746074921</v>
      </c>
      <c r="M655" s="159">
        <f t="shared" si="307"/>
        <v>960063.408147268</v>
      </c>
      <c r="N655" s="159">
        <f t="shared" si="307"/>
        <v>984064.99335094937</v>
      </c>
      <c r="O655" s="159">
        <f t="shared" si="307"/>
        <v>1008666.6181847232</v>
      </c>
      <c r="P655" s="159">
        <f t="shared" si="307"/>
        <v>1033883.2836393411</v>
      </c>
      <c r="Q655" s="159">
        <f t="shared" si="307"/>
        <v>1059730.3657303245</v>
      </c>
      <c r="R655" s="159">
        <f t="shared" si="307"/>
        <v>1086223.6248735827</v>
      </c>
      <c r="S655" s="159">
        <f t="shared" si="307"/>
        <v>1113379.2154954222</v>
      </c>
      <c r="T655" s="159">
        <f t="shared" si="307"/>
        <v>1141213.695882808</v>
      </c>
      <c r="U655" s="159">
        <f t="shared" si="307"/>
        <v>1169744.0382798782</v>
      </c>
      <c r="V655" s="159">
        <f t="shared" si="307"/>
        <v>1198987.6392368751</v>
      </c>
      <c r="W655" s="159">
        <f t="shared" si="307"/>
        <v>1228962.3302177966</v>
      </c>
      <c r="X655" s="159">
        <f t="shared" si="307"/>
        <v>1259686.3884732414</v>
      </c>
      <c r="Y655" s="159">
        <f t="shared" si="307"/>
        <v>1291178.5481850724</v>
      </c>
      <c r="Z655" s="159">
        <f t="shared" si="307"/>
        <v>1323458.0118896994</v>
      </c>
      <c r="AA655" s="159">
        <f t="shared" si="307"/>
        <v>1356544.4621869416</v>
      </c>
      <c r="AB655" s="159">
        <f t="shared" si="307"/>
        <v>0</v>
      </c>
      <c r="AC655" s="159">
        <f t="shared" si="307"/>
        <v>0</v>
      </c>
      <c r="AD655" s="159">
        <f t="shared" si="307"/>
        <v>0</v>
      </c>
      <c r="AE655" s="159">
        <f t="shared" si="307"/>
        <v>0</v>
      </c>
      <c r="AF655" s="159">
        <f t="shared" si="307"/>
        <v>0</v>
      </c>
      <c r="AG655" s="159">
        <f t="shared" si="307"/>
        <v>0</v>
      </c>
      <c r="AH655" s="159">
        <f t="shared" si="307"/>
        <v>0</v>
      </c>
      <c r="AI655" s="159">
        <f t="shared" si="307"/>
        <v>0</v>
      </c>
      <c r="AJ655" s="159">
        <f t="shared" si="307"/>
        <v>0</v>
      </c>
      <c r="AK655" s="159">
        <f t="shared" si="307"/>
        <v>0</v>
      </c>
      <c r="AL655" s="159">
        <f t="shared" si="307"/>
        <v>0</v>
      </c>
      <c r="AM655" s="159">
        <f t="shared" si="307"/>
        <v>0</v>
      </c>
      <c r="AN655" s="159">
        <f t="shared" si="307"/>
        <v>0</v>
      </c>
      <c r="AO655" s="159">
        <f t="shared" si="307"/>
        <v>0</v>
      </c>
      <c r="AP655" s="159">
        <f t="shared" si="307"/>
        <v>0</v>
      </c>
    </row>
    <row r="656" spans="1:42" x14ac:dyDescent="0.2">
      <c r="A656" s="4" t="s">
        <v>22</v>
      </c>
      <c r="B656" s="159">
        <f t="shared" ref="B656:AP656" si="308">IF(B$2&lt;analysis_period,B658-B655,0)</f>
        <v>750000</v>
      </c>
      <c r="C656" s="159">
        <f t="shared" si="308"/>
        <v>18750</v>
      </c>
      <c r="D656" s="159">
        <f t="shared" si="308"/>
        <v>19218.75</v>
      </c>
      <c r="E656" s="159">
        <f t="shared" si="308"/>
        <v>19699.21875</v>
      </c>
      <c r="F656" s="159">
        <f t="shared" si="308"/>
        <v>20191.699218749767</v>
      </c>
      <c r="G656" s="159">
        <f t="shared" si="308"/>
        <v>20696.491699218517</v>
      </c>
      <c r="H656" s="159">
        <f t="shared" si="308"/>
        <v>21213.903991699452</v>
      </c>
      <c r="I656" s="159">
        <f t="shared" si="308"/>
        <v>21744.251591491746</v>
      </c>
      <c r="J656" s="159">
        <f t="shared" si="308"/>
        <v>22287.857881278731</v>
      </c>
      <c r="K656" s="159">
        <f t="shared" si="308"/>
        <v>22845.054328311002</v>
      </c>
      <c r="L656" s="159">
        <f t="shared" si="308"/>
        <v>23416.180686518783</v>
      </c>
      <c r="M656" s="159">
        <f t="shared" si="308"/>
        <v>24001.585203681374</v>
      </c>
      <c r="N656" s="159">
        <f t="shared" si="308"/>
        <v>24601.624833773822</v>
      </c>
      <c r="O656" s="159">
        <f t="shared" si="308"/>
        <v>25216.665454617934</v>
      </c>
      <c r="P656" s="159">
        <f t="shared" si="308"/>
        <v>25847.0820909834</v>
      </c>
      <c r="Q656" s="159">
        <f t="shared" si="308"/>
        <v>26493.259143258212</v>
      </c>
      <c r="R656" s="159">
        <f t="shared" si="308"/>
        <v>27155.59062183951</v>
      </c>
      <c r="S656" s="159">
        <f t="shared" si="308"/>
        <v>27834.480387385702</v>
      </c>
      <c r="T656" s="159">
        <f t="shared" si="308"/>
        <v>28530.342397070257</v>
      </c>
      <c r="U656" s="159">
        <f t="shared" si="308"/>
        <v>29243.600956996903</v>
      </c>
      <c r="V656" s="159">
        <f t="shared" si="308"/>
        <v>29974.690980921499</v>
      </c>
      <c r="W656" s="159">
        <f t="shared" si="308"/>
        <v>30724.058255444746</v>
      </c>
      <c r="X656" s="159">
        <f t="shared" si="308"/>
        <v>31492.159711831016</v>
      </c>
      <c r="Y656" s="159">
        <f t="shared" si="308"/>
        <v>32279.463704627007</v>
      </c>
      <c r="Z656" s="159">
        <f t="shared" si="308"/>
        <v>33086.450297242263</v>
      </c>
      <c r="AA656" s="159">
        <f t="shared" si="308"/>
        <v>0</v>
      </c>
      <c r="AB656" s="159">
        <f t="shared" si="308"/>
        <v>0</v>
      </c>
      <c r="AC656" s="159">
        <f t="shared" si="308"/>
        <v>0</v>
      </c>
      <c r="AD656" s="159">
        <f t="shared" si="308"/>
        <v>0</v>
      </c>
      <c r="AE656" s="159">
        <f t="shared" si="308"/>
        <v>0</v>
      </c>
      <c r="AF656" s="159">
        <f t="shared" si="308"/>
        <v>0</v>
      </c>
      <c r="AG656" s="159">
        <f t="shared" si="308"/>
        <v>0</v>
      </c>
      <c r="AH656" s="159">
        <f t="shared" si="308"/>
        <v>0</v>
      </c>
      <c r="AI656" s="159">
        <f t="shared" si="308"/>
        <v>0</v>
      </c>
      <c r="AJ656" s="159">
        <f t="shared" si="308"/>
        <v>0</v>
      </c>
      <c r="AK656" s="159">
        <f t="shared" si="308"/>
        <v>0</v>
      </c>
      <c r="AL656" s="159">
        <f t="shared" si="308"/>
        <v>0</v>
      </c>
      <c r="AM656" s="159">
        <f t="shared" si="308"/>
        <v>0</v>
      </c>
      <c r="AN656" s="159">
        <f t="shared" si="308"/>
        <v>0</v>
      </c>
      <c r="AO656" s="159">
        <f t="shared" si="308"/>
        <v>0</v>
      </c>
      <c r="AP656" s="159">
        <f t="shared" si="308"/>
        <v>0</v>
      </c>
    </row>
    <row r="657" spans="1:42" x14ac:dyDescent="0.2">
      <c r="A657" s="4" t="s">
        <v>225</v>
      </c>
      <c r="B657" s="160">
        <v>0</v>
      </c>
      <c r="C657" s="160">
        <f>IF(C$2=analysis_period,-C655,0)</f>
        <v>0</v>
      </c>
      <c r="D657" s="160">
        <f t="shared" ref="D657:AP657" si="309">IF(D$2=analysis_period,-D655,0)</f>
        <v>0</v>
      </c>
      <c r="E657" s="160">
        <f t="shared" si="309"/>
        <v>0</v>
      </c>
      <c r="F657" s="160">
        <f t="shared" si="309"/>
        <v>0</v>
      </c>
      <c r="G657" s="160">
        <f t="shared" si="309"/>
        <v>0</v>
      </c>
      <c r="H657" s="160">
        <f t="shared" si="309"/>
        <v>0</v>
      </c>
      <c r="I657" s="160">
        <f t="shared" si="309"/>
        <v>0</v>
      </c>
      <c r="J657" s="160">
        <f t="shared" si="309"/>
        <v>0</v>
      </c>
      <c r="K657" s="160">
        <f t="shared" si="309"/>
        <v>0</v>
      </c>
      <c r="L657" s="160">
        <f t="shared" si="309"/>
        <v>0</v>
      </c>
      <c r="M657" s="160">
        <f t="shared" si="309"/>
        <v>0</v>
      </c>
      <c r="N657" s="160">
        <f t="shared" si="309"/>
        <v>0</v>
      </c>
      <c r="O657" s="160">
        <f t="shared" si="309"/>
        <v>0</v>
      </c>
      <c r="P657" s="160">
        <f t="shared" si="309"/>
        <v>0</v>
      </c>
      <c r="Q657" s="160">
        <f t="shared" si="309"/>
        <v>0</v>
      </c>
      <c r="R657" s="160">
        <f t="shared" si="309"/>
        <v>0</v>
      </c>
      <c r="S657" s="160">
        <f t="shared" si="309"/>
        <v>0</v>
      </c>
      <c r="T657" s="160">
        <f t="shared" si="309"/>
        <v>0</v>
      </c>
      <c r="U657" s="160">
        <f t="shared" si="309"/>
        <v>0</v>
      </c>
      <c r="V657" s="160">
        <f t="shared" si="309"/>
        <v>0</v>
      </c>
      <c r="W657" s="160">
        <f t="shared" si="309"/>
        <v>0</v>
      </c>
      <c r="X657" s="160">
        <f t="shared" si="309"/>
        <v>0</v>
      </c>
      <c r="Y657" s="160">
        <f t="shared" si="309"/>
        <v>0</v>
      </c>
      <c r="Z657" s="160">
        <f t="shared" si="309"/>
        <v>0</v>
      </c>
      <c r="AA657" s="160">
        <f t="shared" si="309"/>
        <v>-1356544.4621869416</v>
      </c>
      <c r="AB657" s="160">
        <f t="shared" si="309"/>
        <v>0</v>
      </c>
      <c r="AC657" s="160">
        <f t="shared" si="309"/>
        <v>0</v>
      </c>
      <c r="AD657" s="160">
        <f t="shared" si="309"/>
        <v>0</v>
      </c>
      <c r="AE657" s="160">
        <f t="shared" si="309"/>
        <v>0</v>
      </c>
      <c r="AF657" s="160">
        <f t="shared" si="309"/>
        <v>0</v>
      </c>
      <c r="AG657" s="160">
        <f t="shared" si="309"/>
        <v>0</v>
      </c>
      <c r="AH657" s="160">
        <f t="shared" si="309"/>
        <v>0</v>
      </c>
      <c r="AI657" s="160">
        <f t="shared" si="309"/>
        <v>0</v>
      </c>
      <c r="AJ657" s="160">
        <f t="shared" si="309"/>
        <v>0</v>
      </c>
      <c r="AK657" s="160">
        <f t="shared" si="309"/>
        <v>0</v>
      </c>
      <c r="AL657" s="160">
        <f t="shared" si="309"/>
        <v>0</v>
      </c>
      <c r="AM657" s="160">
        <f t="shared" si="309"/>
        <v>0</v>
      </c>
      <c r="AN657" s="160">
        <f t="shared" si="309"/>
        <v>0</v>
      </c>
      <c r="AO657" s="160">
        <f t="shared" si="309"/>
        <v>0</v>
      </c>
      <c r="AP657" s="160">
        <f t="shared" si="309"/>
        <v>0</v>
      </c>
    </row>
    <row r="658" spans="1:42" x14ac:dyDescent="0.2">
      <c r="A658" s="4" t="s">
        <v>214</v>
      </c>
      <c r="B658" s="159">
        <f t="shared" ref="B658:AP658" si="310">(C$59-C$57)*(months_working_reserve/12)</f>
        <v>750000</v>
      </c>
      <c r="C658" s="159">
        <f t="shared" si="310"/>
        <v>768750</v>
      </c>
      <c r="D658" s="159">
        <f t="shared" si="310"/>
        <v>787968.75</v>
      </c>
      <c r="E658" s="159">
        <f t="shared" si="310"/>
        <v>807667.96875</v>
      </c>
      <c r="F658" s="159">
        <f t="shared" si="310"/>
        <v>827859.66796874977</v>
      </c>
      <c r="G658" s="159">
        <f t="shared" si="310"/>
        <v>848556.15966796828</v>
      </c>
      <c r="H658" s="159">
        <f t="shared" si="310"/>
        <v>869770.06365966774</v>
      </c>
      <c r="I658" s="159">
        <f t="shared" si="310"/>
        <v>891514.31525115948</v>
      </c>
      <c r="J658" s="159">
        <f t="shared" si="310"/>
        <v>913802.17313243821</v>
      </c>
      <c r="K658" s="159">
        <f t="shared" si="310"/>
        <v>936647.22746074921</v>
      </c>
      <c r="L658" s="159">
        <f t="shared" si="310"/>
        <v>960063.408147268</v>
      </c>
      <c r="M658" s="159">
        <f t="shared" si="310"/>
        <v>984064.99335094937</v>
      </c>
      <c r="N658" s="159">
        <f t="shared" si="310"/>
        <v>1008666.6181847232</v>
      </c>
      <c r="O658" s="159">
        <f t="shared" si="310"/>
        <v>1033883.2836393411</v>
      </c>
      <c r="P658" s="159">
        <f t="shared" si="310"/>
        <v>1059730.3657303245</v>
      </c>
      <c r="Q658" s="159">
        <f t="shared" si="310"/>
        <v>1086223.6248735827</v>
      </c>
      <c r="R658" s="159">
        <f t="shared" si="310"/>
        <v>1113379.2154954222</v>
      </c>
      <c r="S658" s="159">
        <f t="shared" si="310"/>
        <v>1141213.695882808</v>
      </c>
      <c r="T658" s="159">
        <f t="shared" si="310"/>
        <v>1169744.0382798782</v>
      </c>
      <c r="U658" s="159">
        <f t="shared" si="310"/>
        <v>1198987.6392368751</v>
      </c>
      <c r="V658" s="159">
        <f t="shared" si="310"/>
        <v>1228962.3302177966</v>
      </c>
      <c r="W658" s="159">
        <f t="shared" si="310"/>
        <v>1259686.3884732414</v>
      </c>
      <c r="X658" s="159">
        <f t="shared" si="310"/>
        <v>1291178.5481850724</v>
      </c>
      <c r="Y658" s="159">
        <f t="shared" si="310"/>
        <v>1323458.0118896994</v>
      </c>
      <c r="Z658" s="159">
        <f t="shared" si="310"/>
        <v>1356544.4621869416</v>
      </c>
      <c r="AA658" s="159">
        <f t="shared" si="310"/>
        <v>0</v>
      </c>
      <c r="AB658" s="159">
        <f t="shared" si="310"/>
        <v>0</v>
      </c>
      <c r="AC658" s="159">
        <f t="shared" si="310"/>
        <v>0</v>
      </c>
      <c r="AD658" s="159">
        <f t="shared" si="310"/>
        <v>0</v>
      </c>
      <c r="AE658" s="159">
        <f t="shared" si="310"/>
        <v>0</v>
      </c>
      <c r="AF658" s="159">
        <f t="shared" si="310"/>
        <v>0</v>
      </c>
      <c r="AG658" s="159">
        <f t="shared" si="310"/>
        <v>0</v>
      </c>
      <c r="AH658" s="159">
        <f t="shared" si="310"/>
        <v>0</v>
      </c>
      <c r="AI658" s="159">
        <f t="shared" si="310"/>
        <v>0</v>
      </c>
      <c r="AJ658" s="159">
        <f t="shared" si="310"/>
        <v>0</v>
      </c>
      <c r="AK658" s="159">
        <f t="shared" si="310"/>
        <v>0</v>
      </c>
      <c r="AL658" s="159">
        <f t="shared" si="310"/>
        <v>0</v>
      </c>
      <c r="AM658" s="159">
        <f t="shared" si="310"/>
        <v>0</v>
      </c>
      <c r="AN658" s="159">
        <f t="shared" si="310"/>
        <v>0</v>
      </c>
      <c r="AO658" s="159">
        <f t="shared" si="310"/>
        <v>0</v>
      </c>
      <c r="AP658" s="159">
        <f t="shared" si="310"/>
        <v>0</v>
      </c>
    </row>
    <row r="659" spans="1:42" x14ac:dyDescent="0.2">
      <c r="B659" s="159"/>
      <c r="C659" s="159"/>
      <c r="D659" s="159"/>
      <c r="E659" s="159"/>
      <c r="F659" s="159"/>
      <c r="G659" s="159"/>
      <c r="H659" s="159"/>
      <c r="I659" s="159"/>
      <c r="J659" s="159"/>
      <c r="K659" s="159"/>
      <c r="L659" s="159"/>
      <c r="M659" s="159"/>
      <c r="N659" s="159"/>
      <c r="O659" s="159"/>
      <c r="P659" s="159"/>
      <c r="Q659" s="159"/>
      <c r="R659" s="159"/>
      <c r="S659" s="159"/>
      <c r="T659" s="159"/>
      <c r="U659" s="159"/>
      <c r="V659" s="159"/>
      <c r="W659" s="159"/>
      <c r="X659" s="159"/>
      <c r="Y659" s="159"/>
      <c r="Z659" s="159"/>
      <c r="AA659" s="159"/>
      <c r="AB659" s="159"/>
      <c r="AC659" s="159"/>
      <c r="AD659" s="159"/>
      <c r="AE659" s="159"/>
      <c r="AF659" s="159"/>
      <c r="AG659" s="159"/>
      <c r="AH659" s="159"/>
      <c r="AI659" s="159"/>
      <c r="AJ659" s="159"/>
      <c r="AK659" s="159"/>
      <c r="AL659" s="159"/>
      <c r="AM659" s="159"/>
      <c r="AN659" s="159"/>
      <c r="AO659" s="159"/>
      <c r="AP659" s="159"/>
    </row>
    <row r="660" spans="1:42" x14ac:dyDescent="0.2">
      <c r="A660" s="20" t="s">
        <v>270</v>
      </c>
      <c r="B660" s="159"/>
      <c r="C660" s="159"/>
      <c r="D660" s="159"/>
      <c r="E660" s="159"/>
      <c r="F660" s="159"/>
      <c r="G660" s="159"/>
      <c r="H660" s="159"/>
      <c r="I660" s="159"/>
      <c r="J660" s="159"/>
      <c r="K660" s="159"/>
      <c r="L660" s="159"/>
      <c r="M660" s="159"/>
      <c r="N660" s="159"/>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row>
    <row r="661" spans="1:42" x14ac:dyDescent="0.2">
      <c r="A661" s="4" t="s">
        <v>224</v>
      </c>
      <c r="B661" s="159">
        <v>0</v>
      </c>
      <c r="C661" s="159">
        <f>B664</f>
        <v>2012471.2263420781</v>
      </c>
      <c r="D661" s="159">
        <f t="shared" ref="D661:AP661" si="311">C664</f>
        <v>2012471.2263420781</v>
      </c>
      <c r="E661" s="159">
        <f t="shared" si="311"/>
        <v>2012471.2263420781</v>
      </c>
      <c r="F661" s="159">
        <f t="shared" si="311"/>
        <v>2012471.2263420781</v>
      </c>
      <c r="G661" s="159">
        <f t="shared" si="311"/>
        <v>2012471.2263420781</v>
      </c>
      <c r="H661" s="159">
        <f t="shared" si="311"/>
        <v>2012471.2263420781</v>
      </c>
      <c r="I661" s="159">
        <f t="shared" si="311"/>
        <v>2012471.2263420781</v>
      </c>
      <c r="J661" s="159">
        <f t="shared" si="311"/>
        <v>2012471.2263420781</v>
      </c>
      <c r="K661" s="159">
        <f t="shared" si="311"/>
        <v>2012471.2263420781</v>
      </c>
      <c r="L661" s="159">
        <f t="shared" si="311"/>
        <v>2012471.2263420781</v>
      </c>
      <c r="M661" s="159">
        <f t="shared" si="311"/>
        <v>2012471.2263420781</v>
      </c>
      <c r="N661" s="159">
        <f t="shared" si="311"/>
        <v>2012471.2263420781</v>
      </c>
      <c r="O661" s="159">
        <f t="shared" si="311"/>
        <v>2012471.2263420781</v>
      </c>
      <c r="P661" s="159">
        <f t="shared" si="311"/>
        <v>2012471.2263420781</v>
      </c>
      <c r="Q661" s="159">
        <f t="shared" si="311"/>
        <v>2012471.2263420781</v>
      </c>
      <c r="R661" s="159">
        <f t="shared" si="311"/>
        <v>2012471.2263420781</v>
      </c>
      <c r="S661" s="159">
        <f t="shared" si="311"/>
        <v>2012471.2263420781</v>
      </c>
      <c r="T661" s="159">
        <f t="shared" si="311"/>
        <v>2012471.2263420781</v>
      </c>
      <c r="U661" s="159">
        <f t="shared" si="311"/>
        <v>2012471.2263420781</v>
      </c>
      <c r="V661" s="159">
        <f t="shared" si="311"/>
        <v>2012471.2263420781</v>
      </c>
      <c r="W661" s="159">
        <f t="shared" si="311"/>
        <v>2012471.2263420781</v>
      </c>
      <c r="X661" s="159">
        <f t="shared" si="311"/>
        <v>2012471.2263420781</v>
      </c>
      <c r="Y661" s="159">
        <f t="shared" si="311"/>
        <v>2012471.2263420781</v>
      </c>
      <c r="Z661" s="159">
        <f t="shared" si="311"/>
        <v>2012471.2263420781</v>
      </c>
      <c r="AA661" s="159">
        <f t="shared" si="311"/>
        <v>2012471.2263420781</v>
      </c>
      <c r="AB661" s="159">
        <f t="shared" si="311"/>
        <v>0</v>
      </c>
      <c r="AC661" s="159">
        <f t="shared" si="311"/>
        <v>0</v>
      </c>
      <c r="AD661" s="159">
        <f t="shared" si="311"/>
        <v>0</v>
      </c>
      <c r="AE661" s="159">
        <f t="shared" si="311"/>
        <v>0</v>
      </c>
      <c r="AF661" s="159">
        <f t="shared" si="311"/>
        <v>0</v>
      </c>
      <c r="AG661" s="159">
        <f t="shared" si="311"/>
        <v>0</v>
      </c>
      <c r="AH661" s="159">
        <f t="shared" si="311"/>
        <v>0</v>
      </c>
      <c r="AI661" s="159">
        <f t="shared" si="311"/>
        <v>0</v>
      </c>
      <c r="AJ661" s="159">
        <f t="shared" si="311"/>
        <v>0</v>
      </c>
      <c r="AK661" s="159">
        <f t="shared" si="311"/>
        <v>0</v>
      </c>
      <c r="AL661" s="159">
        <f t="shared" si="311"/>
        <v>0</v>
      </c>
      <c r="AM661" s="159">
        <f t="shared" si="311"/>
        <v>0</v>
      </c>
      <c r="AN661" s="159">
        <f t="shared" si="311"/>
        <v>0</v>
      </c>
      <c r="AO661" s="159">
        <f t="shared" si="311"/>
        <v>0</v>
      </c>
      <c r="AP661" s="159">
        <f t="shared" si="311"/>
        <v>0</v>
      </c>
    </row>
    <row r="662" spans="1:42" x14ac:dyDescent="0.2">
      <c r="A662" s="4" t="s">
        <v>22</v>
      </c>
      <c r="B662" s="159">
        <f>C$118*tax_investor_required_lease_reserve/12</f>
        <v>2012471.2263420781</v>
      </c>
      <c r="C662" s="159">
        <v>0</v>
      </c>
      <c r="D662" s="159">
        <v>0</v>
      </c>
      <c r="E662" s="159">
        <v>0</v>
      </c>
      <c r="F662" s="159">
        <v>0</v>
      </c>
      <c r="G662" s="159">
        <v>0</v>
      </c>
      <c r="H662" s="159">
        <v>0</v>
      </c>
      <c r="I662" s="159">
        <v>0</v>
      </c>
      <c r="J662" s="159">
        <v>0</v>
      </c>
      <c r="K662" s="159">
        <v>0</v>
      </c>
      <c r="L662" s="159">
        <v>0</v>
      </c>
      <c r="M662" s="159">
        <v>0</v>
      </c>
      <c r="N662" s="159">
        <v>0</v>
      </c>
      <c r="O662" s="159">
        <v>0</v>
      </c>
      <c r="P662" s="159">
        <v>0</v>
      </c>
      <c r="Q662" s="159">
        <v>0</v>
      </c>
      <c r="R662" s="159">
        <v>0</v>
      </c>
      <c r="S662" s="159">
        <v>0</v>
      </c>
      <c r="T662" s="159">
        <v>0</v>
      </c>
      <c r="U662" s="159">
        <v>0</v>
      </c>
      <c r="V662" s="159">
        <v>0</v>
      </c>
      <c r="W662" s="159">
        <v>0</v>
      </c>
      <c r="X662" s="159">
        <v>0</v>
      </c>
      <c r="Y662" s="159">
        <v>0</v>
      </c>
      <c r="Z662" s="159">
        <v>0</v>
      </c>
      <c r="AA662" s="159">
        <v>0</v>
      </c>
      <c r="AB662" s="159">
        <v>0</v>
      </c>
      <c r="AC662" s="159">
        <v>0</v>
      </c>
      <c r="AD662" s="159">
        <v>0</v>
      </c>
      <c r="AE662" s="159">
        <v>0</v>
      </c>
      <c r="AF662" s="159">
        <v>0</v>
      </c>
      <c r="AG662" s="159">
        <v>0</v>
      </c>
      <c r="AH662" s="159">
        <v>0</v>
      </c>
      <c r="AI662" s="159">
        <v>0</v>
      </c>
      <c r="AJ662" s="159">
        <v>0</v>
      </c>
      <c r="AK662" s="159">
        <v>0</v>
      </c>
      <c r="AL662" s="159">
        <v>0</v>
      </c>
      <c r="AM662" s="159">
        <v>0</v>
      </c>
      <c r="AN662" s="159">
        <v>0</v>
      </c>
      <c r="AO662" s="159">
        <v>0</v>
      </c>
      <c r="AP662" s="159">
        <v>0</v>
      </c>
    </row>
    <row r="663" spans="1:42" x14ac:dyDescent="0.2">
      <c r="A663" s="4" t="s">
        <v>225</v>
      </c>
      <c r="B663" s="160">
        <v>0</v>
      </c>
      <c r="C663" s="160">
        <f>IF(C$2=analysis_period,-C661,0)</f>
        <v>0</v>
      </c>
      <c r="D663" s="160">
        <f t="shared" ref="D663:AP663" si="312">IF(D$2=analysis_period,-$B$664,0)</f>
        <v>0</v>
      </c>
      <c r="E663" s="160">
        <f t="shared" si="312"/>
        <v>0</v>
      </c>
      <c r="F663" s="160">
        <f t="shared" si="312"/>
        <v>0</v>
      </c>
      <c r="G663" s="160">
        <f t="shared" si="312"/>
        <v>0</v>
      </c>
      <c r="H663" s="160">
        <f t="shared" si="312"/>
        <v>0</v>
      </c>
      <c r="I663" s="160">
        <f t="shared" si="312"/>
        <v>0</v>
      </c>
      <c r="J663" s="160">
        <f t="shared" si="312"/>
        <v>0</v>
      </c>
      <c r="K663" s="160">
        <f t="shared" si="312"/>
        <v>0</v>
      </c>
      <c r="L663" s="160">
        <f t="shared" si="312"/>
        <v>0</v>
      </c>
      <c r="M663" s="160">
        <f t="shared" si="312"/>
        <v>0</v>
      </c>
      <c r="N663" s="160">
        <f t="shared" si="312"/>
        <v>0</v>
      </c>
      <c r="O663" s="160">
        <f t="shared" si="312"/>
        <v>0</v>
      </c>
      <c r="P663" s="160">
        <f t="shared" si="312"/>
        <v>0</v>
      </c>
      <c r="Q663" s="160">
        <f t="shared" si="312"/>
        <v>0</v>
      </c>
      <c r="R663" s="160">
        <f t="shared" si="312"/>
        <v>0</v>
      </c>
      <c r="S663" s="160">
        <f t="shared" si="312"/>
        <v>0</v>
      </c>
      <c r="T663" s="160">
        <f t="shared" si="312"/>
        <v>0</v>
      </c>
      <c r="U663" s="160">
        <f t="shared" si="312"/>
        <v>0</v>
      </c>
      <c r="V663" s="160">
        <f t="shared" si="312"/>
        <v>0</v>
      </c>
      <c r="W663" s="160">
        <f t="shared" si="312"/>
        <v>0</v>
      </c>
      <c r="X663" s="160">
        <f t="shared" si="312"/>
        <v>0</v>
      </c>
      <c r="Y663" s="160">
        <f t="shared" si="312"/>
        <v>0</v>
      </c>
      <c r="Z663" s="160">
        <f t="shared" si="312"/>
        <v>0</v>
      </c>
      <c r="AA663" s="160">
        <f t="shared" si="312"/>
        <v>-2012471.2263420781</v>
      </c>
      <c r="AB663" s="160">
        <f t="shared" si="312"/>
        <v>0</v>
      </c>
      <c r="AC663" s="160">
        <f t="shared" si="312"/>
        <v>0</v>
      </c>
      <c r="AD663" s="160">
        <f t="shared" si="312"/>
        <v>0</v>
      </c>
      <c r="AE663" s="160">
        <f t="shared" si="312"/>
        <v>0</v>
      </c>
      <c r="AF663" s="160">
        <f t="shared" si="312"/>
        <v>0</v>
      </c>
      <c r="AG663" s="160">
        <f t="shared" si="312"/>
        <v>0</v>
      </c>
      <c r="AH663" s="160">
        <f t="shared" si="312"/>
        <v>0</v>
      </c>
      <c r="AI663" s="160">
        <f t="shared" si="312"/>
        <v>0</v>
      </c>
      <c r="AJ663" s="160">
        <f t="shared" si="312"/>
        <v>0</v>
      </c>
      <c r="AK663" s="160">
        <f t="shared" si="312"/>
        <v>0</v>
      </c>
      <c r="AL663" s="160">
        <f t="shared" si="312"/>
        <v>0</v>
      </c>
      <c r="AM663" s="160">
        <f t="shared" si="312"/>
        <v>0</v>
      </c>
      <c r="AN663" s="160">
        <f t="shared" si="312"/>
        <v>0</v>
      </c>
      <c r="AO663" s="160">
        <f t="shared" si="312"/>
        <v>0</v>
      </c>
      <c r="AP663" s="160">
        <f t="shared" si="312"/>
        <v>0</v>
      </c>
    </row>
    <row r="664" spans="1:42" x14ac:dyDescent="0.2">
      <c r="A664" s="4" t="s">
        <v>214</v>
      </c>
      <c r="B664" s="159">
        <f>SUM(B661:B663)</f>
        <v>2012471.2263420781</v>
      </c>
      <c r="C664" s="159">
        <f>SUM(C661:C663)</f>
        <v>2012471.2263420781</v>
      </c>
      <c r="D664" s="159">
        <f t="shared" ref="D664:AP664" si="313">SUM(D661:D663)</f>
        <v>2012471.2263420781</v>
      </c>
      <c r="E664" s="159">
        <f t="shared" si="313"/>
        <v>2012471.2263420781</v>
      </c>
      <c r="F664" s="159">
        <f t="shared" si="313"/>
        <v>2012471.2263420781</v>
      </c>
      <c r="G664" s="159">
        <f t="shared" si="313"/>
        <v>2012471.2263420781</v>
      </c>
      <c r="H664" s="159">
        <f t="shared" si="313"/>
        <v>2012471.2263420781</v>
      </c>
      <c r="I664" s="159">
        <f t="shared" si="313"/>
        <v>2012471.2263420781</v>
      </c>
      <c r="J664" s="159">
        <f t="shared" si="313"/>
        <v>2012471.2263420781</v>
      </c>
      <c r="K664" s="159">
        <f t="shared" si="313"/>
        <v>2012471.2263420781</v>
      </c>
      <c r="L664" s="159">
        <f t="shared" si="313"/>
        <v>2012471.2263420781</v>
      </c>
      <c r="M664" s="159">
        <f t="shared" si="313"/>
        <v>2012471.2263420781</v>
      </c>
      <c r="N664" s="159">
        <f t="shared" si="313"/>
        <v>2012471.2263420781</v>
      </c>
      <c r="O664" s="159">
        <f t="shared" si="313"/>
        <v>2012471.2263420781</v>
      </c>
      <c r="P664" s="159">
        <f t="shared" si="313"/>
        <v>2012471.2263420781</v>
      </c>
      <c r="Q664" s="159">
        <f t="shared" si="313"/>
        <v>2012471.2263420781</v>
      </c>
      <c r="R664" s="159">
        <f t="shared" si="313"/>
        <v>2012471.2263420781</v>
      </c>
      <c r="S664" s="159">
        <f t="shared" si="313"/>
        <v>2012471.2263420781</v>
      </c>
      <c r="T664" s="159">
        <f t="shared" si="313"/>
        <v>2012471.2263420781</v>
      </c>
      <c r="U664" s="159">
        <f t="shared" si="313"/>
        <v>2012471.2263420781</v>
      </c>
      <c r="V664" s="159">
        <f t="shared" si="313"/>
        <v>2012471.2263420781</v>
      </c>
      <c r="W664" s="159">
        <f t="shared" si="313"/>
        <v>2012471.2263420781</v>
      </c>
      <c r="X664" s="159">
        <f t="shared" si="313"/>
        <v>2012471.2263420781</v>
      </c>
      <c r="Y664" s="159">
        <f t="shared" si="313"/>
        <v>2012471.2263420781</v>
      </c>
      <c r="Z664" s="159">
        <f t="shared" si="313"/>
        <v>2012471.2263420781</v>
      </c>
      <c r="AA664" s="159">
        <f t="shared" si="313"/>
        <v>0</v>
      </c>
      <c r="AB664" s="159">
        <f t="shared" si="313"/>
        <v>0</v>
      </c>
      <c r="AC664" s="159">
        <f t="shared" si="313"/>
        <v>0</v>
      </c>
      <c r="AD664" s="159">
        <f t="shared" si="313"/>
        <v>0</v>
      </c>
      <c r="AE664" s="159">
        <f t="shared" si="313"/>
        <v>0</v>
      </c>
      <c r="AF664" s="159">
        <f t="shared" si="313"/>
        <v>0</v>
      </c>
      <c r="AG664" s="159">
        <f t="shared" si="313"/>
        <v>0</v>
      </c>
      <c r="AH664" s="159">
        <f t="shared" si="313"/>
        <v>0</v>
      </c>
      <c r="AI664" s="159">
        <f t="shared" si="313"/>
        <v>0</v>
      </c>
      <c r="AJ664" s="159">
        <f t="shared" si="313"/>
        <v>0</v>
      </c>
      <c r="AK664" s="159">
        <f t="shared" si="313"/>
        <v>0</v>
      </c>
      <c r="AL664" s="159">
        <f t="shared" si="313"/>
        <v>0</v>
      </c>
      <c r="AM664" s="159">
        <f t="shared" si="313"/>
        <v>0</v>
      </c>
      <c r="AN664" s="159">
        <f t="shared" si="313"/>
        <v>0</v>
      </c>
      <c r="AO664" s="159">
        <f t="shared" si="313"/>
        <v>0</v>
      </c>
      <c r="AP664" s="159">
        <f t="shared" si="313"/>
        <v>0</v>
      </c>
    </row>
    <row r="665" spans="1:42" x14ac:dyDescent="0.2">
      <c r="B665" s="159"/>
      <c r="C665" s="159"/>
      <c r="D665" s="159"/>
      <c r="E665" s="159"/>
      <c r="F665" s="159"/>
      <c r="G665" s="159"/>
      <c r="H665" s="159"/>
      <c r="I665" s="159"/>
      <c r="J665" s="159"/>
      <c r="K665" s="159"/>
      <c r="L665" s="159"/>
      <c r="M665" s="159"/>
      <c r="N665" s="159"/>
      <c r="O665" s="159"/>
      <c r="P665" s="159"/>
      <c r="Q665" s="159"/>
      <c r="R665" s="159"/>
      <c r="S665" s="159"/>
      <c r="T665" s="159"/>
      <c r="U665" s="159"/>
      <c r="V665" s="159"/>
      <c r="W665" s="159"/>
      <c r="X665" s="159"/>
      <c r="Y665" s="159"/>
      <c r="Z665" s="159"/>
      <c r="AA665" s="159"/>
      <c r="AB665" s="159"/>
      <c r="AC665" s="159"/>
      <c r="AD665" s="159"/>
      <c r="AE665" s="159"/>
      <c r="AF665" s="159"/>
      <c r="AG665" s="159"/>
      <c r="AH665" s="159"/>
      <c r="AI665" s="159"/>
      <c r="AJ665" s="159"/>
      <c r="AK665" s="159"/>
      <c r="AL665" s="159"/>
      <c r="AM665" s="159"/>
      <c r="AN665" s="159"/>
      <c r="AO665" s="159"/>
      <c r="AP665" s="159"/>
    </row>
    <row r="666" spans="1:42" x14ac:dyDescent="0.2">
      <c r="A666" s="20" t="s">
        <v>232</v>
      </c>
      <c r="B666" s="159"/>
      <c r="C666" s="159"/>
      <c r="D666" s="159"/>
      <c r="E666" s="159"/>
      <c r="F666" s="159"/>
      <c r="G666" s="159"/>
      <c r="H666" s="159"/>
      <c r="I666" s="159"/>
      <c r="J666" s="159"/>
      <c r="K666" s="159"/>
      <c r="L666" s="159"/>
      <c r="M666" s="159"/>
      <c r="N666" s="159"/>
      <c r="O666" s="159"/>
      <c r="P666" s="159"/>
      <c r="Q666" s="159"/>
      <c r="R666" s="159"/>
      <c r="S666" s="159"/>
      <c r="T666" s="159"/>
      <c r="U666" s="159"/>
      <c r="V666" s="159"/>
      <c r="W666" s="159"/>
      <c r="X666" s="159"/>
      <c r="Y666" s="159"/>
      <c r="Z666" s="159"/>
      <c r="AA666" s="159"/>
      <c r="AB666" s="159"/>
      <c r="AC666" s="159"/>
      <c r="AD666" s="159"/>
      <c r="AE666" s="159"/>
      <c r="AF666" s="159"/>
      <c r="AG666" s="159"/>
      <c r="AH666" s="159"/>
      <c r="AI666" s="159"/>
      <c r="AJ666" s="159"/>
      <c r="AK666" s="159"/>
      <c r="AL666" s="159"/>
      <c r="AM666" s="159"/>
      <c r="AN666" s="159"/>
      <c r="AO666" s="159"/>
      <c r="AP666" s="159"/>
    </row>
    <row r="667" spans="1:42" x14ac:dyDescent="0.2">
      <c r="A667" s="4" t="s">
        <v>224</v>
      </c>
      <c r="B667" s="159">
        <v>0</v>
      </c>
      <c r="C667" s="159">
        <f>B670</f>
        <v>0</v>
      </c>
      <c r="D667" s="159">
        <f t="shared" ref="D667" si="314">C670</f>
        <v>0</v>
      </c>
      <c r="E667" s="159">
        <f t="shared" ref="E667" si="315">D670</f>
        <v>0</v>
      </c>
      <c r="F667" s="159">
        <f t="shared" ref="F667" si="316">E670</f>
        <v>0</v>
      </c>
      <c r="G667" s="159">
        <f t="shared" ref="G667" si="317">F670</f>
        <v>0</v>
      </c>
      <c r="H667" s="159">
        <f t="shared" ref="H667" si="318">G670</f>
        <v>0</v>
      </c>
      <c r="I667" s="159">
        <f t="shared" ref="I667" si="319">H670</f>
        <v>0</v>
      </c>
      <c r="J667" s="159">
        <f t="shared" ref="J667" si="320">I670</f>
        <v>0</v>
      </c>
      <c r="K667" s="159">
        <f t="shared" ref="K667" si="321">J670</f>
        <v>0</v>
      </c>
      <c r="L667" s="159">
        <f t="shared" ref="L667" si="322">K670</f>
        <v>0</v>
      </c>
      <c r="M667" s="159">
        <f t="shared" ref="M667" si="323">L670</f>
        <v>0</v>
      </c>
      <c r="N667" s="159">
        <f t="shared" ref="N667" si="324">M670</f>
        <v>0</v>
      </c>
      <c r="O667" s="159">
        <f t="shared" ref="O667" si="325">N670</f>
        <v>0</v>
      </c>
      <c r="P667" s="159">
        <f t="shared" ref="P667" si="326">O670</f>
        <v>0</v>
      </c>
      <c r="Q667" s="159">
        <f t="shared" ref="Q667" si="327">P670</f>
        <v>0</v>
      </c>
      <c r="R667" s="159">
        <f t="shared" ref="R667" si="328">Q670</f>
        <v>0</v>
      </c>
      <c r="S667" s="159">
        <f t="shared" ref="S667" si="329">R670</f>
        <v>0</v>
      </c>
      <c r="T667" s="159">
        <f t="shared" ref="T667" si="330">S670</f>
        <v>0</v>
      </c>
      <c r="U667" s="159">
        <f t="shared" ref="U667" si="331">T670</f>
        <v>0</v>
      </c>
      <c r="V667" s="159">
        <f t="shared" ref="V667" si="332">U670</f>
        <v>0</v>
      </c>
      <c r="W667" s="159">
        <f t="shared" ref="W667" si="333">V670</f>
        <v>0</v>
      </c>
      <c r="X667" s="159">
        <f t="shared" ref="X667" si="334">W670</f>
        <v>0</v>
      </c>
      <c r="Y667" s="159">
        <f t="shared" ref="Y667" si="335">X670</f>
        <v>0</v>
      </c>
      <c r="Z667" s="159">
        <f t="shared" ref="Z667" si="336">Y670</f>
        <v>0</v>
      </c>
      <c r="AA667" s="159">
        <f t="shared" ref="AA667" si="337">Z670</f>
        <v>0</v>
      </c>
      <c r="AB667" s="159">
        <f t="shared" ref="AB667" si="338">AA670</f>
        <v>0</v>
      </c>
      <c r="AC667" s="159">
        <f t="shared" ref="AC667" si="339">AB670</f>
        <v>0</v>
      </c>
      <c r="AD667" s="159">
        <f t="shared" ref="AD667" si="340">AC670</f>
        <v>0</v>
      </c>
      <c r="AE667" s="159">
        <f t="shared" ref="AE667" si="341">AD670</f>
        <v>0</v>
      </c>
      <c r="AF667" s="159">
        <f t="shared" ref="AF667" si="342">AE670</f>
        <v>0</v>
      </c>
      <c r="AG667" s="159">
        <f t="shared" ref="AG667" si="343">AF670</f>
        <v>0</v>
      </c>
      <c r="AH667" s="159">
        <f t="shared" ref="AH667" si="344">AG670</f>
        <v>0</v>
      </c>
      <c r="AI667" s="159">
        <f t="shared" ref="AI667" si="345">AH670</f>
        <v>0</v>
      </c>
      <c r="AJ667" s="159">
        <f t="shared" ref="AJ667" si="346">AI670</f>
        <v>0</v>
      </c>
      <c r="AK667" s="159">
        <f t="shared" ref="AK667" si="347">AJ670</f>
        <v>0</v>
      </c>
      <c r="AL667" s="159">
        <f t="shared" ref="AL667" si="348">AK670</f>
        <v>0</v>
      </c>
      <c r="AM667" s="159">
        <f t="shared" ref="AM667" si="349">AL670</f>
        <v>0</v>
      </c>
      <c r="AN667" s="159">
        <f t="shared" ref="AN667" si="350">AM670</f>
        <v>0</v>
      </c>
      <c r="AO667" s="159">
        <f t="shared" ref="AO667" si="351">AN670</f>
        <v>0</v>
      </c>
      <c r="AP667" s="159">
        <f t="shared" ref="AP667" si="352">AO670</f>
        <v>0</v>
      </c>
    </row>
    <row r="668" spans="1:42" x14ac:dyDescent="0.2">
      <c r="A668" s="4" t="s">
        <v>22</v>
      </c>
      <c r="B668" s="159">
        <f t="shared" ref="B668:AP668" si="353">IF(B$2&lt;analysis_period,B670-B667,0)</f>
        <v>0</v>
      </c>
      <c r="C668" s="159">
        <f t="shared" si="353"/>
        <v>0</v>
      </c>
      <c r="D668" s="159">
        <f t="shared" si="353"/>
        <v>0</v>
      </c>
      <c r="E668" s="159">
        <f t="shared" si="353"/>
        <v>0</v>
      </c>
      <c r="F668" s="159">
        <f t="shared" si="353"/>
        <v>0</v>
      </c>
      <c r="G668" s="159">
        <f t="shared" si="353"/>
        <v>0</v>
      </c>
      <c r="H668" s="159">
        <f t="shared" si="353"/>
        <v>0</v>
      </c>
      <c r="I668" s="159">
        <f t="shared" si="353"/>
        <v>0</v>
      </c>
      <c r="J668" s="159">
        <f t="shared" si="353"/>
        <v>0</v>
      </c>
      <c r="K668" s="159">
        <f t="shared" si="353"/>
        <v>0</v>
      </c>
      <c r="L668" s="159">
        <f t="shared" si="353"/>
        <v>0</v>
      </c>
      <c r="M668" s="159">
        <f t="shared" si="353"/>
        <v>0</v>
      </c>
      <c r="N668" s="159">
        <f t="shared" si="353"/>
        <v>0</v>
      </c>
      <c r="O668" s="159">
        <f t="shared" si="353"/>
        <v>0</v>
      </c>
      <c r="P668" s="159">
        <f t="shared" si="353"/>
        <v>0</v>
      </c>
      <c r="Q668" s="159">
        <f t="shared" si="353"/>
        <v>0</v>
      </c>
      <c r="R668" s="159">
        <f t="shared" si="353"/>
        <v>0</v>
      </c>
      <c r="S668" s="159">
        <f t="shared" si="353"/>
        <v>0</v>
      </c>
      <c r="T668" s="159">
        <f t="shared" si="353"/>
        <v>0</v>
      </c>
      <c r="U668" s="159">
        <f t="shared" si="353"/>
        <v>0</v>
      </c>
      <c r="V668" s="159">
        <f t="shared" si="353"/>
        <v>0</v>
      </c>
      <c r="W668" s="159">
        <f t="shared" si="353"/>
        <v>0</v>
      </c>
      <c r="X668" s="159">
        <f t="shared" si="353"/>
        <v>0</v>
      </c>
      <c r="Y668" s="159">
        <f t="shared" si="353"/>
        <v>0</v>
      </c>
      <c r="Z668" s="159">
        <f t="shared" si="353"/>
        <v>0</v>
      </c>
      <c r="AA668" s="159">
        <f t="shared" si="353"/>
        <v>0</v>
      </c>
      <c r="AB668" s="159">
        <f t="shared" si="353"/>
        <v>0</v>
      </c>
      <c r="AC668" s="159">
        <f t="shared" si="353"/>
        <v>0</v>
      </c>
      <c r="AD668" s="159">
        <f t="shared" si="353"/>
        <v>0</v>
      </c>
      <c r="AE668" s="159">
        <f t="shared" si="353"/>
        <v>0</v>
      </c>
      <c r="AF668" s="159">
        <f t="shared" si="353"/>
        <v>0</v>
      </c>
      <c r="AG668" s="159">
        <f t="shared" si="353"/>
        <v>0</v>
      </c>
      <c r="AH668" s="159">
        <f t="shared" si="353"/>
        <v>0</v>
      </c>
      <c r="AI668" s="159">
        <f t="shared" si="353"/>
        <v>0</v>
      </c>
      <c r="AJ668" s="159">
        <f t="shared" si="353"/>
        <v>0</v>
      </c>
      <c r="AK668" s="159">
        <f t="shared" si="353"/>
        <v>0</v>
      </c>
      <c r="AL668" s="159">
        <f t="shared" si="353"/>
        <v>0</v>
      </c>
      <c r="AM668" s="159">
        <f t="shared" si="353"/>
        <v>0</v>
      </c>
      <c r="AN668" s="159">
        <f t="shared" si="353"/>
        <v>0</v>
      </c>
      <c r="AO668" s="159">
        <f t="shared" si="353"/>
        <v>0</v>
      </c>
      <c r="AP668" s="159">
        <f t="shared" si="353"/>
        <v>0</v>
      </c>
    </row>
    <row r="669" spans="1:42" x14ac:dyDescent="0.2">
      <c r="A669" s="4" t="s">
        <v>225</v>
      </c>
      <c r="B669" s="160">
        <v>0</v>
      </c>
      <c r="C669" s="160">
        <f t="shared" ref="C669:AP669" si="354">IF(C$2=analysis_period,-C667,0)</f>
        <v>0</v>
      </c>
      <c r="D669" s="160">
        <f t="shared" si="354"/>
        <v>0</v>
      </c>
      <c r="E669" s="160">
        <f t="shared" si="354"/>
        <v>0</v>
      </c>
      <c r="F669" s="160">
        <f t="shared" si="354"/>
        <v>0</v>
      </c>
      <c r="G669" s="160">
        <f t="shared" si="354"/>
        <v>0</v>
      </c>
      <c r="H669" s="160">
        <f t="shared" si="354"/>
        <v>0</v>
      </c>
      <c r="I669" s="160">
        <f t="shared" si="354"/>
        <v>0</v>
      </c>
      <c r="J669" s="160">
        <f t="shared" si="354"/>
        <v>0</v>
      </c>
      <c r="K669" s="160">
        <f t="shared" si="354"/>
        <v>0</v>
      </c>
      <c r="L669" s="160">
        <f t="shared" si="354"/>
        <v>0</v>
      </c>
      <c r="M669" s="160">
        <f t="shared" si="354"/>
        <v>0</v>
      </c>
      <c r="N669" s="160">
        <f t="shared" si="354"/>
        <v>0</v>
      </c>
      <c r="O669" s="160">
        <f t="shared" si="354"/>
        <v>0</v>
      </c>
      <c r="P669" s="160">
        <f t="shared" si="354"/>
        <v>0</v>
      </c>
      <c r="Q669" s="160">
        <f t="shared" si="354"/>
        <v>0</v>
      </c>
      <c r="R669" s="160">
        <f t="shared" si="354"/>
        <v>0</v>
      </c>
      <c r="S669" s="160">
        <f t="shared" si="354"/>
        <v>0</v>
      </c>
      <c r="T669" s="160">
        <f t="shared" si="354"/>
        <v>0</v>
      </c>
      <c r="U669" s="160">
        <f t="shared" si="354"/>
        <v>0</v>
      </c>
      <c r="V669" s="160">
        <f t="shared" si="354"/>
        <v>0</v>
      </c>
      <c r="W669" s="160">
        <f t="shared" si="354"/>
        <v>0</v>
      </c>
      <c r="X669" s="160">
        <f t="shared" si="354"/>
        <v>0</v>
      </c>
      <c r="Y669" s="160">
        <f t="shared" si="354"/>
        <v>0</v>
      </c>
      <c r="Z669" s="160">
        <f t="shared" si="354"/>
        <v>0</v>
      </c>
      <c r="AA669" s="160">
        <f t="shared" si="354"/>
        <v>0</v>
      </c>
      <c r="AB669" s="160">
        <f t="shared" si="354"/>
        <v>0</v>
      </c>
      <c r="AC669" s="160">
        <f t="shared" si="354"/>
        <v>0</v>
      </c>
      <c r="AD669" s="160">
        <f t="shared" si="354"/>
        <v>0</v>
      </c>
      <c r="AE669" s="160">
        <f t="shared" si="354"/>
        <v>0</v>
      </c>
      <c r="AF669" s="160">
        <f t="shared" si="354"/>
        <v>0</v>
      </c>
      <c r="AG669" s="160">
        <f t="shared" si="354"/>
        <v>0</v>
      </c>
      <c r="AH669" s="160">
        <f t="shared" si="354"/>
        <v>0</v>
      </c>
      <c r="AI669" s="160">
        <f t="shared" si="354"/>
        <v>0</v>
      </c>
      <c r="AJ669" s="160">
        <f t="shared" si="354"/>
        <v>0</v>
      </c>
      <c r="AK669" s="160">
        <f t="shared" si="354"/>
        <v>0</v>
      </c>
      <c r="AL669" s="160">
        <f t="shared" si="354"/>
        <v>0</v>
      </c>
      <c r="AM669" s="160">
        <f t="shared" si="354"/>
        <v>0</v>
      </c>
      <c r="AN669" s="160">
        <f t="shared" si="354"/>
        <v>0</v>
      </c>
      <c r="AO669" s="160">
        <f t="shared" si="354"/>
        <v>0</v>
      </c>
      <c r="AP669" s="160">
        <f t="shared" si="354"/>
        <v>0</v>
      </c>
    </row>
    <row r="670" spans="1:42" x14ac:dyDescent="0.2">
      <c r="A670" s="4" t="s">
        <v>214</v>
      </c>
      <c r="B670" s="159">
        <f t="shared" ref="B670:AP670" si="355">(months_receivables_reserve/12)*SUM(C17:C21)</f>
        <v>0</v>
      </c>
      <c r="C670" s="159">
        <f t="shared" si="355"/>
        <v>0</v>
      </c>
      <c r="D670" s="159">
        <f t="shared" si="355"/>
        <v>0</v>
      </c>
      <c r="E670" s="159">
        <f t="shared" si="355"/>
        <v>0</v>
      </c>
      <c r="F670" s="159">
        <f t="shared" si="355"/>
        <v>0</v>
      </c>
      <c r="G670" s="159">
        <f t="shared" si="355"/>
        <v>0</v>
      </c>
      <c r="H670" s="159">
        <f t="shared" si="355"/>
        <v>0</v>
      </c>
      <c r="I670" s="159">
        <f t="shared" si="355"/>
        <v>0</v>
      </c>
      <c r="J670" s="159">
        <f t="shared" si="355"/>
        <v>0</v>
      </c>
      <c r="K670" s="159">
        <f t="shared" si="355"/>
        <v>0</v>
      </c>
      <c r="L670" s="159">
        <f t="shared" si="355"/>
        <v>0</v>
      </c>
      <c r="M670" s="159">
        <f t="shared" si="355"/>
        <v>0</v>
      </c>
      <c r="N670" s="159">
        <f t="shared" si="355"/>
        <v>0</v>
      </c>
      <c r="O670" s="159">
        <f t="shared" si="355"/>
        <v>0</v>
      </c>
      <c r="P670" s="159">
        <f t="shared" si="355"/>
        <v>0</v>
      </c>
      <c r="Q670" s="159">
        <f t="shared" si="355"/>
        <v>0</v>
      </c>
      <c r="R670" s="159">
        <f t="shared" si="355"/>
        <v>0</v>
      </c>
      <c r="S670" s="159">
        <f t="shared" si="355"/>
        <v>0</v>
      </c>
      <c r="T670" s="159">
        <f t="shared" si="355"/>
        <v>0</v>
      </c>
      <c r="U670" s="159">
        <f t="shared" si="355"/>
        <v>0</v>
      </c>
      <c r="V670" s="159">
        <f t="shared" si="355"/>
        <v>0</v>
      </c>
      <c r="W670" s="159">
        <f t="shared" si="355"/>
        <v>0</v>
      </c>
      <c r="X670" s="159">
        <f t="shared" si="355"/>
        <v>0</v>
      </c>
      <c r="Y670" s="159">
        <f t="shared" si="355"/>
        <v>0</v>
      </c>
      <c r="Z670" s="159">
        <f t="shared" si="355"/>
        <v>0</v>
      </c>
      <c r="AA670" s="159">
        <f t="shared" si="355"/>
        <v>0</v>
      </c>
      <c r="AB670" s="159">
        <f t="shared" si="355"/>
        <v>0</v>
      </c>
      <c r="AC670" s="159">
        <f t="shared" si="355"/>
        <v>0</v>
      </c>
      <c r="AD670" s="159">
        <f t="shared" si="355"/>
        <v>0</v>
      </c>
      <c r="AE670" s="159">
        <f t="shared" si="355"/>
        <v>0</v>
      </c>
      <c r="AF670" s="159">
        <f t="shared" si="355"/>
        <v>0</v>
      </c>
      <c r="AG670" s="159">
        <f t="shared" si="355"/>
        <v>0</v>
      </c>
      <c r="AH670" s="159">
        <f t="shared" si="355"/>
        <v>0</v>
      </c>
      <c r="AI670" s="159">
        <f t="shared" si="355"/>
        <v>0</v>
      </c>
      <c r="AJ670" s="159">
        <f t="shared" si="355"/>
        <v>0</v>
      </c>
      <c r="AK670" s="159">
        <f t="shared" si="355"/>
        <v>0</v>
      </c>
      <c r="AL670" s="159">
        <f t="shared" si="355"/>
        <v>0</v>
      </c>
      <c r="AM670" s="159">
        <f t="shared" si="355"/>
        <v>0</v>
      </c>
      <c r="AN670" s="159">
        <f t="shared" si="355"/>
        <v>0</v>
      </c>
      <c r="AO670" s="159">
        <f t="shared" si="355"/>
        <v>0</v>
      </c>
      <c r="AP670" s="159">
        <f t="shared" si="355"/>
        <v>0</v>
      </c>
    </row>
    <row r="671" spans="1:42" x14ac:dyDescent="0.2">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row>
    <row r="672" spans="1:42" x14ac:dyDescent="0.2">
      <c r="A672" s="20" t="s">
        <v>226</v>
      </c>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row>
    <row r="673" spans="1:42" x14ac:dyDescent="0.2">
      <c r="A673" s="4" t="s">
        <v>224</v>
      </c>
      <c r="B673" s="159">
        <v>0</v>
      </c>
      <c r="C673" s="159">
        <f>B676</f>
        <v>0</v>
      </c>
      <c r="D673" s="159">
        <f t="shared" ref="D673:AP673" si="356">C676</f>
        <v>941982.54731584399</v>
      </c>
      <c r="E673" s="159">
        <f t="shared" si="356"/>
        <v>1883965.094631688</v>
      </c>
      <c r="F673" s="159">
        <f t="shared" si="356"/>
        <v>2825947.6419475321</v>
      </c>
      <c r="G673" s="159">
        <f t="shared" si="356"/>
        <v>3767930.1892633759</v>
      </c>
      <c r="H673" s="159">
        <f t="shared" si="356"/>
        <v>4709912.7365792198</v>
      </c>
      <c r="I673" s="159">
        <f t="shared" si="356"/>
        <v>5651895.2838950641</v>
      </c>
      <c r="J673" s="159">
        <f t="shared" si="356"/>
        <v>6593877.8312109085</v>
      </c>
      <c r="K673" s="159">
        <f t="shared" si="356"/>
        <v>7535860.3785267528</v>
      </c>
      <c r="L673" s="159">
        <f t="shared" si="356"/>
        <v>8477842.9258425962</v>
      </c>
      <c r="M673" s="159">
        <f t="shared" si="356"/>
        <v>9419825.4731584396</v>
      </c>
      <c r="N673" s="159">
        <f t="shared" si="356"/>
        <v>10361808.020474283</v>
      </c>
      <c r="O673" s="159">
        <f t="shared" si="356"/>
        <v>11303790.567790126</v>
      </c>
      <c r="P673" s="159">
        <f t="shared" si="356"/>
        <v>12245773.11510597</v>
      </c>
      <c r="Q673" s="159">
        <f t="shared" si="356"/>
        <v>13187755.662421813</v>
      </c>
      <c r="R673" s="159">
        <f t="shared" si="356"/>
        <v>0</v>
      </c>
      <c r="S673" s="159">
        <f t="shared" si="356"/>
        <v>0</v>
      </c>
      <c r="T673" s="159">
        <f t="shared" si="356"/>
        <v>0</v>
      </c>
      <c r="U673" s="159">
        <f t="shared" si="356"/>
        <v>0</v>
      </c>
      <c r="V673" s="159">
        <f t="shared" si="356"/>
        <v>0</v>
      </c>
      <c r="W673" s="159">
        <f t="shared" si="356"/>
        <v>0</v>
      </c>
      <c r="X673" s="159">
        <f t="shared" si="356"/>
        <v>0</v>
      </c>
      <c r="Y673" s="159">
        <f t="shared" si="356"/>
        <v>0</v>
      </c>
      <c r="Z673" s="159">
        <f t="shared" si="356"/>
        <v>0</v>
      </c>
      <c r="AA673" s="159">
        <f t="shared" si="356"/>
        <v>0</v>
      </c>
      <c r="AB673" s="159">
        <f t="shared" si="356"/>
        <v>0</v>
      </c>
      <c r="AC673" s="159">
        <f t="shared" si="356"/>
        <v>0</v>
      </c>
      <c r="AD673" s="159">
        <f t="shared" si="356"/>
        <v>0</v>
      </c>
      <c r="AE673" s="159">
        <f t="shared" si="356"/>
        <v>0</v>
      </c>
      <c r="AF673" s="159">
        <f t="shared" si="356"/>
        <v>0</v>
      </c>
      <c r="AG673" s="159">
        <f t="shared" si="356"/>
        <v>0</v>
      </c>
      <c r="AH673" s="159">
        <f t="shared" si="356"/>
        <v>0</v>
      </c>
      <c r="AI673" s="159">
        <f t="shared" si="356"/>
        <v>0</v>
      </c>
      <c r="AJ673" s="159">
        <f t="shared" si="356"/>
        <v>0</v>
      </c>
      <c r="AK673" s="159">
        <f t="shared" si="356"/>
        <v>0</v>
      </c>
      <c r="AL673" s="159">
        <f t="shared" si="356"/>
        <v>0</v>
      </c>
      <c r="AM673" s="159">
        <f t="shared" si="356"/>
        <v>0</v>
      </c>
      <c r="AN673" s="159">
        <f t="shared" si="356"/>
        <v>0</v>
      </c>
      <c r="AO673" s="159">
        <f t="shared" si="356"/>
        <v>0</v>
      </c>
      <c r="AP673" s="159">
        <f t="shared" si="356"/>
        <v>0</v>
      </c>
    </row>
    <row r="674" spans="1:42" x14ac:dyDescent="0.2">
      <c r="A674" s="4" t="s">
        <v>60</v>
      </c>
      <c r="B674" s="159">
        <v>0</v>
      </c>
      <c r="C674" s="159">
        <f>C702</f>
        <v>941982.54731584399</v>
      </c>
      <c r="D674" s="159">
        <f t="shared" ref="D674:AP674" si="357">D702</f>
        <v>941982.54731584399</v>
      </c>
      <c r="E674" s="159">
        <f t="shared" si="357"/>
        <v>941982.54731584399</v>
      </c>
      <c r="F674" s="159">
        <f t="shared" si="357"/>
        <v>941982.54731584399</v>
      </c>
      <c r="G674" s="159">
        <f t="shared" si="357"/>
        <v>941982.54731584399</v>
      </c>
      <c r="H674" s="159">
        <f t="shared" si="357"/>
        <v>941982.54731584399</v>
      </c>
      <c r="I674" s="159">
        <f t="shared" si="357"/>
        <v>941982.54731584399</v>
      </c>
      <c r="J674" s="159">
        <f t="shared" si="357"/>
        <v>941982.54731584399</v>
      </c>
      <c r="K674" s="159">
        <f t="shared" si="357"/>
        <v>941982.54731584399</v>
      </c>
      <c r="L674" s="159">
        <f t="shared" si="357"/>
        <v>941982.54731584399</v>
      </c>
      <c r="M674" s="159">
        <f t="shared" si="357"/>
        <v>941982.54731584399</v>
      </c>
      <c r="N674" s="159">
        <f t="shared" si="357"/>
        <v>941982.54731584399</v>
      </c>
      <c r="O674" s="159">
        <f t="shared" si="357"/>
        <v>941982.54731584399</v>
      </c>
      <c r="P674" s="159">
        <f t="shared" si="357"/>
        <v>941982.54731584399</v>
      </c>
      <c r="Q674" s="159">
        <f t="shared" si="357"/>
        <v>941982.54731584399</v>
      </c>
      <c r="R674" s="159">
        <f t="shared" si="357"/>
        <v>0</v>
      </c>
      <c r="S674" s="159">
        <f t="shared" si="357"/>
        <v>0</v>
      </c>
      <c r="T674" s="159">
        <f t="shared" si="357"/>
        <v>0</v>
      </c>
      <c r="U674" s="159">
        <f t="shared" si="357"/>
        <v>0</v>
      </c>
      <c r="V674" s="159">
        <f t="shared" si="357"/>
        <v>0</v>
      </c>
      <c r="W674" s="159">
        <f t="shared" si="357"/>
        <v>0</v>
      </c>
      <c r="X674" s="159">
        <f t="shared" si="357"/>
        <v>0</v>
      </c>
      <c r="Y674" s="159">
        <f t="shared" si="357"/>
        <v>0</v>
      </c>
      <c r="Z674" s="159">
        <f t="shared" si="357"/>
        <v>0</v>
      </c>
      <c r="AA674" s="159">
        <f t="shared" si="357"/>
        <v>0</v>
      </c>
      <c r="AB674" s="159">
        <f t="shared" si="357"/>
        <v>0</v>
      </c>
      <c r="AC674" s="159">
        <f t="shared" si="357"/>
        <v>0</v>
      </c>
      <c r="AD674" s="159">
        <f t="shared" si="357"/>
        <v>0</v>
      </c>
      <c r="AE674" s="159">
        <f t="shared" si="357"/>
        <v>0</v>
      </c>
      <c r="AF674" s="159">
        <f t="shared" si="357"/>
        <v>0</v>
      </c>
      <c r="AG674" s="159">
        <f t="shared" si="357"/>
        <v>0</v>
      </c>
      <c r="AH674" s="159">
        <f t="shared" si="357"/>
        <v>0</v>
      </c>
      <c r="AI674" s="159">
        <f t="shared" si="357"/>
        <v>0</v>
      </c>
      <c r="AJ674" s="159">
        <f t="shared" si="357"/>
        <v>0</v>
      </c>
      <c r="AK674" s="159">
        <f t="shared" si="357"/>
        <v>0</v>
      </c>
      <c r="AL674" s="159">
        <f t="shared" si="357"/>
        <v>0</v>
      </c>
      <c r="AM674" s="159">
        <f t="shared" si="357"/>
        <v>0</v>
      </c>
      <c r="AN674" s="159">
        <f t="shared" si="357"/>
        <v>0</v>
      </c>
      <c r="AO674" s="159">
        <f t="shared" si="357"/>
        <v>0</v>
      </c>
      <c r="AP674" s="159">
        <f t="shared" si="357"/>
        <v>0</v>
      </c>
    </row>
    <row r="675" spans="1:42" x14ac:dyDescent="0.2">
      <c r="A675" s="4" t="s">
        <v>225</v>
      </c>
      <c r="B675" s="160">
        <v>0</v>
      </c>
      <c r="C675" s="160">
        <f>-C690</f>
        <v>0</v>
      </c>
      <c r="D675" s="160">
        <f t="shared" ref="D675:AP675" si="358">-D690</f>
        <v>0</v>
      </c>
      <c r="E675" s="160">
        <f t="shared" si="358"/>
        <v>0</v>
      </c>
      <c r="F675" s="160">
        <f t="shared" si="358"/>
        <v>0</v>
      </c>
      <c r="G675" s="160">
        <f t="shared" si="358"/>
        <v>0</v>
      </c>
      <c r="H675" s="160">
        <f t="shared" si="358"/>
        <v>0</v>
      </c>
      <c r="I675" s="160">
        <f t="shared" si="358"/>
        <v>0</v>
      </c>
      <c r="J675" s="160">
        <f t="shared" si="358"/>
        <v>0</v>
      </c>
      <c r="K675" s="160">
        <f t="shared" si="358"/>
        <v>0</v>
      </c>
      <c r="L675" s="160">
        <f t="shared" si="358"/>
        <v>0</v>
      </c>
      <c r="M675" s="160">
        <f t="shared" si="358"/>
        <v>0</v>
      </c>
      <c r="N675" s="160">
        <f t="shared" si="358"/>
        <v>0</v>
      </c>
      <c r="O675" s="160">
        <f t="shared" si="358"/>
        <v>0</v>
      </c>
      <c r="P675" s="160">
        <f t="shared" si="358"/>
        <v>0</v>
      </c>
      <c r="Q675" s="160">
        <f t="shared" si="358"/>
        <v>-14129738.20973766</v>
      </c>
      <c r="R675" s="160">
        <f t="shared" si="358"/>
        <v>0</v>
      </c>
      <c r="S675" s="160">
        <f t="shared" si="358"/>
        <v>0</v>
      </c>
      <c r="T675" s="160">
        <f t="shared" si="358"/>
        <v>0</v>
      </c>
      <c r="U675" s="160">
        <f t="shared" si="358"/>
        <v>0</v>
      </c>
      <c r="V675" s="160">
        <f t="shared" si="358"/>
        <v>0</v>
      </c>
      <c r="W675" s="160">
        <f t="shared" si="358"/>
        <v>0</v>
      </c>
      <c r="X675" s="160">
        <f t="shared" si="358"/>
        <v>0</v>
      </c>
      <c r="Y675" s="160">
        <f t="shared" si="358"/>
        <v>0</v>
      </c>
      <c r="Z675" s="160">
        <f t="shared" si="358"/>
        <v>0</v>
      </c>
      <c r="AA675" s="160">
        <f t="shared" si="358"/>
        <v>0</v>
      </c>
      <c r="AB675" s="160">
        <f t="shared" si="358"/>
        <v>0</v>
      </c>
      <c r="AC675" s="160">
        <f t="shared" si="358"/>
        <v>0</v>
      </c>
      <c r="AD675" s="160">
        <f t="shared" si="358"/>
        <v>0</v>
      </c>
      <c r="AE675" s="160">
        <f t="shared" si="358"/>
        <v>0</v>
      </c>
      <c r="AF675" s="160">
        <f t="shared" si="358"/>
        <v>0</v>
      </c>
      <c r="AG675" s="160">
        <f t="shared" si="358"/>
        <v>0</v>
      </c>
      <c r="AH675" s="160">
        <f t="shared" si="358"/>
        <v>0</v>
      </c>
      <c r="AI675" s="160">
        <f t="shared" si="358"/>
        <v>0</v>
      </c>
      <c r="AJ675" s="160">
        <f t="shared" si="358"/>
        <v>0</v>
      </c>
      <c r="AK675" s="160">
        <f t="shared" si="358"/>
        <v>0</v>
      </c>
      <c r="AL675" s="160">
        <f t="shared" si="358"/>
        <v>0</v>
      </c>
      <c r="AM675" s="160">
        <f t="shared" si="358"/>
        <v>0</v>
      </c>
      <c r="AN675" s="160">
        <f t="shared" si="358"/>
        <v>0</v>
      </c>
      <c r="AO675" s="160">
        <f t="shared" si="358"/>
        <v>0</v>
      </c>
      <c r="AP675" s="160">
        <f t="shared" si="358"/>
        <v>0</v>
      </c>
    </row>
    <row r="676" spans="1:42" x14ac:dyDescent="0.2">
      <c r="A676" s="4" t="s">
        <v>214</v>
      </c>
      <c r="B676" s="159">
        <f>SUM(B673:B675)</f>
        <v>0</v>
      </c>
      <c r="C676" s="159">
        <f>SUM(C673:C675)</f>
        <v>941982.54731584399</v>
      </c>
      <c r="D676" s="159">
        <f t="shared" ref="D676:AP676" si="359">SUM(D673:D675)</f>
        <v>1883965.094631688</v>
      </c>
      <c r="E676" s="159">
        <f t="shared" si="359"/>
        <v>2825947.6419475321</v>
      </c>
      <c r="F676" s="159">
        <f t="shared" si="359"/>
        <v>3767930.1892633759</v>
      </c>
      <c r="G676" s="159">
        <f t="shared" si="359"/>
        <v>4709912.7365792198</v>
      </c>
      <c r="H676" s="159">
        <f t="shared" si="359"/>
        <v>5651895.2838950641</v>
      </c>
      <c r="I676" s="159">
        <f t="shared" si="359"/>
        <v>6593877.8312109085</v>
      </c>
      <c r="J676" s="159">
        <f t="shared" si="359"/>
        <v>7535860.3785267528</v>
      </c>
      <c r="K676" s="159">
        <f t="shared" si="359"/>
        <v>8477842.9258425962</v>
      </c>
      <c r="L676" s="159">
        <f t="shared" si="359"/>
        <v>9419825.4731584396</v>
      </c>
      <c r="M676" s="159">
        <f t="shared" si="359"/>
        <v>10361808.020474283</v>
      </c>
      <c r="N676" s="159">
        <f t="shared" si="359"/>
        <v>11303790.567790126</v>
      </c>
      <c r="O676" s="159">
        <f t="shared" si="359"/>
        <v>12245773.11510597</v>
      </c>
      <c r="P676" s="159">
        <f t="shared" si="359"/>
        <v>13187755.662421813</v>
      </c>
      <c r="Q676" s="159">
        <f t="shared" si="359"/>
        <v>0</v>
      </c>
      <c r="R676" s="159">
        <f t="shared" si="359"/>
        <v>0</v>
      </c>
      <c r="S676" s="159">
        <f t="shared" si="359"/>
        <v>0</v>
      </c>
      <c r="T676" s="159">
        <f t="shared" si="359"/>
        <v>0</v>
      </c>
      <c r="U676" s="159">
        <f t="shared" si="359"/>
        <v>0</v>
      </c>
      <c r="V676" s="159">
        <f t="shared" si="359"/>
        <v>0</v>
      </c>
      <c r="W676" s="159">
        <f t="shared" si="359"/>
        <v>0</v>
      </c>
      <c r="X676" s="159">
        <f t="shared" si="359"/>
        <v>0</v>
      </c>
      <c r="Y676" s="159">
        <f t="shared" si="359"/>
        <v>0</v>
      </c>
      <c r="Z676" s="159">
        <f t="shared" si="359"/>
        <v>0</v>
      </c>
      <c r="AA676" s="159">
        <f t="shared" si="359"/>
        <v>0</v>
      </c>
      <c r="AB676" s="159">
        <f t="shared" si="359"/>
        <v>0</v>
      </c>
      <c r="AC676" s="159">
        <f t="shared" si="359"/>
        <v>0</v>
      </c>
      <c r="AD676" s="159">
        <f t="shared" si="359"/>
        <v>0</v>
      </c>
      <c r="AE676" s="159">
        <f t="shared" si="359"/>
        <v>0</v>
      </c>
      <c r="AF676" s="159">
        <f t="shared" si="359"/>
        <v>0</v>
      </c>
      <c r="AG676" s="159">
        <f t="shared" si="359"/>
        <v>0</v>
      </c>
      <c r="AH676" s="159">
        <f t="shared" si="359"/>
        <v>0</v>
      </c>
      <c r="AI676" s="159">
        <f t="shared" si="359"/>
        <v>0</v>
      </c>
      <c r="AJ676" s="159">
        <f t="shared" si="359"/>
        <v>0</v>
      </c>
      <c r="AK676" s="159">
        <f t="shared" si="359"/>
        <v>0</v>
      </c>
      <c r="AL676" s="159">
        <f t="shared" si="359"/>
        <v>0</v>
      </c>
      <c r="AM676" s="159">
        <f t="shared" si="359"/>
        <v>0</v>
      </c>
      <c r="AN676" s="159">
        <f t="shared" si="359"/>
        <v>0</v>
      </c>
      <c r="AO676" s="159">
        <f t="shared" si="359"/>
        <v>0</v>
      </c>
      <c r="AP676" s="159">
        <f t="shared" si="359"/>
        <v>0</v>
      </c>
    </row>
    <row r="677" spans="1:42" x14ac:dyDescent="0.2">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row>
    <row r="678" spans="1:42" x14ac:dyDescent="0.2">
      <c r="A678" s="4" t="s">
        <v>227</v>
      </c>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row>
    <row r="679" spans="1:42" x14ac:dyDescent="0.2">
      <c r="A679" s="4" t="s">
        <v>228</v>
      </c>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row>
    <row r="680" spans="1:42" x14ac:dyDescent="0.2">
      <c r="A680" s="4">
        <v>1</v>
      </c>
      <c r="B680" s="176">
        <f t="shared" ref="B680:B689" si="360">SUM(C680:AP680)</f>
        <v>14129738.20973766</v>
      </c>
      <c r="C680" s="159">
        <f t="shared" ref="C680:AP680" si="361">IF(C$2&gt;analysis_period,0,IF(C$2=equip1_reserve_freq*$A680,equip1_reserve_cost*system_capacity*1000*(1+inflation_rate/100)^B$2,0))</f>
        <v>0</v>
      </c>
      <c r="D680" s="159">
        <f t="shared" si="361"/>
        <v>0</v>
      </c>
      <c r="E680" s="159">
        <f t="shared" si="361"/>
        <v>0</v>
      </c>
      <c r="F680" s="159">
        <f t="shared" si="361"/>
        <v>0</v>
      </c>
      <c r="G680" s="159">
        <f t="shared" si="361"/>
        <v>0</v>
      </c>
      <c r="H680" s="159">
        <f t="shared" si="361"/>
        <v>0</v>
      </c>
      <c r="I680" s="159">
        <f t="shared" si="361"/>
        <v>0</v>
      </c>
      <c r="J680" s="159">
        <f t="shared" si="361"/>
        <v>0</v>
      </c>
      <c r="K680" s="159">
        <f t="shared" si="361"/>
        <v>0</v>
      </c>
      <c r="L680" s="159">
        <f t="shared" si="361"/>
        <v>0</v>
      </c>
      <c r="M680" s="159">
        <f t="shared" si="361"/>
        <v>0</v>
      </c>
      <c r="N680" s="159">
        <f t="shared" si="361"/>
        <v>0</v>
      </c>
      <c r="O680" s="159">
        <f t="shared" si="361"/>
        <v>0</v>
      </c>
      <c r="P680" s="159">
        <f t="shared" si="361"/>
        <v>0</v>
      </c>
      <c r="Q680" s="159">
        <f t="shared" si="361"/>
        <v>14129738.20973766</v>
      </c>
      <c r="R680" s="159">
        <f t="shared" si="361"/>
        <v>0</v>
      </c>
      <c r="S680" s="159">
        <f t="shared" si="361"/>
        <v>0</v>
      </c>
      <c r="T680" s="159">
        <f t="shared" si="361"/>
        <v>0</v>
      </c>
      <c r="U680" s="159">
        <f t="shared" si="361"/>
        <v>0</v>
      </c>
      <c r="V680" s="159">
        <f t="shared" si="361"/>
        <v>0</v>
      </c>
      <c r="W680" s="159">
        <f t="shared" si="361"/>
        <v>0</v>
      </c>
      <c r="X680" s="159">
        <f t="shared" si="361"/>
        <v>0</v>
      </c>
      <c r="Y680" s="159">
        <f t="shared" si="361"/>
        <v>0</v>
      </c>
      <c r="Z680" s="159">
        <f t="shared" si="361"/>
        <v>0</v>
      </c>
      <c r="AA680" s="159">
        <f t="shared" si="361"/>
        <v>0</v>
      </c>
      <c r="AB680" s="159">
        <f t="shared" si="361"/>
        <v>0</v>
      </c>
      <c r="AC680" s="159">
        <f t="shared" si="361"/>
        <v>0</v>
      </c>
      <c r="AD680" s="159">
        <f t="shared" si="361"/>
        <v>0</v>
      </c>
      <c r="AE680" s="159">
        <f t="shared" si="361"/>
        <v>0</v>
      </c>
      <c r="AF680" s="159">
        <f t="shared" si="361"/>
        <v>0</v>
      </c>
      <c r="AG680" s="159">
        <f t="shared" si="361"/>
        <v>0</v>
      </c>
      <c r="AH680" s="159">
        <f t="shared" si="361"/>
        <v>0</v>
      </c>
      <c r="AI680" s="159">
        <f t="shared" si="361"/>
        <v>0</v>
      </c>
      <c r="AJ680" s="159">
        <f t="shared" si="361"/>
        <v>0</v>
      </c>
      <c r="AK680" s="159">
        <f t="shared" si="361"/>
        <v>0</v>
      </c>
      <c r="AL680" s="159">
        <f t="shared" si="361"/>
        <v>0</v>
      </c>
      <c r="AM680" s="159">
        <f t="shared" si="361"/>
        <v>0</v>
      </c>
      <c r="AN680" s="159">
        <f t="shared" si="361"/>
        <v>0</v>
      </c>
      <c r="AO680" s="159">
        <f t="shared" si="361"/>
        <v>0</v>
      </c>
      <c r="AP680" s="159">
        <f t="shared" si="361"/>
        <v>0</v>
      </c>
    </row>
    <row r="681" spans="1:42" x14ac:dyDescent="0.2">
      <c r="A681" s="4">
        <f>A680+1</f>
        <v>2</v>
      </c>
      <c r="B681" s="176">
        <f t="shared" si="360"/>
        <v>0</v>
      </c>
      <c r="C681" s="159">
        <f t="shared" ref="C681:AP681" si="362">IF(C$2&gt;analysis_period,0,IF(C$2=equip1_reserve_freq*$A681,equip1_reserve_cost*system_capacity*1000*(1+inflation_rate/100)^B$2,0))</f>
        <v>0</v>
      </c>
      <c r="D681" s="159">
        <f t="shared" si="362"/>
        <v>0</v>
      </c>
      <c r="E681" s="159">
        <f t="shared" si="362"/>
        <v>0</v>
      </c>
      <c r="F681" s="159">
        <f t="shared" si="362"/>
        <v>0</v>
      </c>
      <c r="G681" s="159">
        <f t="shared" si="362"/>
        <v>0</v>
      </c>
      <c r="H681" s="159">
        <f t="shared" si="362"/>
        <v>0</v>
      </c>
      <c r="I681" s="159">
        <f t="shared" si="362"/>
        <v>0</v>
      </c>
      <c r="J681" s="159">
        <f t="shared" si="362"/>
        <v>0</v>
      </c>
      <c r="K681" s="159">
        <f t="shared" si="362"/>
        <v>0</v>
      </c>
      <c r="L681" s="159">
        <f t="shared" si="362"/>
        <v>0</v>
      </c>
      <c r="M681" s="159">
        <f t="shared" si="362"/>
        <v>0</v>
      </c>
      <c r="N681" s="159">
        <f t="shared" si="362"/>
        <v>0</v>
      </c>
      <c r="O681" s="159">
        <f t="shared" si="362"/>
        <v>0</v>
      </c>
      <c r="P681" s="159">
        <f t="shared" si="362"/>
        <v>0</v>
      </c>
      <c r="Q681" s="159">
        <f t="shared" si="362"/>
        <v>0</v>
      </c>
      <c r="R681" s="159">
        <f t="shared" si="362"/>
        <v>0</v>
      </c>
      <c r="S681" s="159">
        <f t="shared" si="362"/>
        <v>0</v>
      </c>
      <c r="T681" s="159">
        <f t="shared" si="362"/>
        <v>0</v>
      </c>
      <c r="U681" s="159">
        <f t="shared" si="362"/>
        <v>0</v>
      </c>
      <c r="V681" s="159">
        <f t="shared" si="362"/>
        <v>0</v>
      </c>
      <c r="W681" s="159">
        <f t="shared" si="362"/>
        <v>0</v>
      </c>
      <c r="X681" s="159">
        <f t="shared" si="362"/>
        <v>0</v>
      </c>
      <c r="Y681" s="159">
        <f t="shared" si="362"/>
        <v>0</v>
      </c>
      <c r="Z681" s="159">
        <f t="shared" si="362"/>
        <v>0</v>
      </c>
      <c r="AA681" s="159">
        <f t="shared" si="362"/>
        <v>0</v>
      </c>
      <c r="AB681" s="159">
        <f t="shared" si="362"/>
        <v>0</v>
      </c>
      <c r="AC681" s="159">
        <f t="shared" si="362"/>
        <v>0</v>
      </c>
      <c r="AD681" s="159">
        <f t="shared" si="362"/>
        <v>0</v>
      </c>
      <c r="AE681" s="159">
        <f t="shared" si="362"/>
        <v>0</v>
      </c>
      <c r="AF681" s="159">
        <f t="shared" si="362"/>
        <v>0</v>
      </c>
      <c r="AG681" s="159">
        <f t="shared" si="362"/>
        <v>0</v>
      </c>
      <c r="AH681" s="159">
        <f t="shared" si="362"/>
        <v>0</v>
      </c>
      <c r="AI681" s="159">
        <f t="shared" si="362"/>
        <v>0</v>
      </c>
      <c r="AJ681" s="159">
        <f t="shared" si="362"/>
        <v>0</v>
      </c>
      <c r="AK681" s="159">
        <f t="shared" si="362"/>
        <v>0</v>
      </c>
      <c r="AL681" s="159">
        <f t="shared" si="362"/>
        <v>0</v>
      </c>
      <c r="AM681" s="159">
        <f t="shared" si="362"/>
        <v>0</v>
      </c>
      <c r="AN681" s="159">
        <f t="shared" si="362"/>
        <v>0</v>
      </c>
      <c r="AO681" s="159">
        <f t="shared" si="362"/>
        <v>0</v>
      </c>
      <c r="AP681" s="159">
        <f t="shared" si="362"/>
        <v>0</v>
      </c>
    </row>
    <row r="682" spans="1:42" x14ac:dyDescent="0.2">
      <c r="A682" s="4">
        <f t="shared" ref="A682:A689" si="363">A681+1</f>
        <v>3</v>
      </c>
      <c r="B682" s="176">
        <f t="shared" si="360"/>
        <v>0</v>
      </c>
      <c r="C682" s="159">
        <f t="shared" ref="C682:AP682" si="364">IF(C$2&gt;analysis_period,0,IF(C$2=equip1_reserve_freq*$A682,equip1_reserve_cost*system_capacity*1000*(1+inflation_rate/100)^B$2,0))</f>
        <v>0</v>
      </c>
      <c r="D682" s="159">
        <f t="shared" si="364"/>
        <v>0</v>
      </c>
      <c r="E682" s="159">
        <f t="shared" si="364"/>
        <v>0</v>
      </c>
      <c r="F682" s="159">
        <f t="shared" si="364"/>
        <v>0</v>
      </c>
      <c r="G682" s="159">
        <f t="shared" si="364"/>
        <v>0</v>
      </c>
      <c r="H682" s="159">
        <f t="shared" si="364"/>
        <v>0</v>
      </c>
      <c r="I682" s="159">
        <f t="shared" si="364"/>
        <v>0</v>
      </c>
      <c r="J682" s="159">
        <f t="shared" si="364"/>
        <v>0</v>
      </c>
      <c r="K682" s="159">
        <f t="shared" si="364"/>
        <v>0</v>
      </c>
      <c r="L682" s="159">
        <f t="shared" si="364"/>
        <v>0</v>
      </c>
      <c r="M682" s="159">
        <f t="shared" si="364"/>
        <v>0</v>
      </c>
      <c r="N682" s="159">
        <f t="shared" si="364"/>
        <v>0</v>
      </c>
      <c r="O682" s="159">
        <f t="shared" si="364"/>
        <v>0</v>
      </c>
      <c r="P682" s="159">
        <f t="shared" si="364"/>
        <v>0</v>
      </c>
      <c r="Q682" s="159">
        <f t="shared" si="364"/>
        <v>0</v>
      </c>
      <c r="R682" s="159">
        <f t="shared" si="364"/>
        <v>0</v>
      </c>
      <c r="S682" s="159">
        <f t="shared" si="364"/>
        <v>0</v>
      </c>
      <c r="T682" s="159">
        <f t="shared" si="364"/>
        <v>0</v>
      </c>
      <c r="U682" s="159">
        <f t="shared" si="364"/>
        <v>0</v>
      </c>
      <c r="V682" s="159">
        <f t="shared" si="364"/>
        <v>0</v>
      </c>
      <c r="W682" s="159">
        <f t="shared" si="364"/>
        <v>0</v>
      </c>
      <c r="X682" s="159">
        <f t="shared" si="364"/>
        <v>0</v>
      </c>
      <c r="Y682" s="159">
        <f t="shared" si="364"/>
        <v>0</v>
      </c>
      <c r="Z682" s="159">
        <f t="shared" si="364"/>
        <v>0</v>
      </c>
      <c r="AA682" s="159">
        <f t="shared" si="364"/>
        <v>0</v>
      </c>
      <c r="AB682" s="159">
        <f t="shared" si="364"/>
        <v>0</v>
      </c>
      <c r="AC682" s="159">
        <f t="shared" si="364"/>
        <v>0</v>
      </c>
      <c r="AD682" s="159">
        <f t="shared" si="364"/>
        <v>0</v>
      </c>
      <c r="AE682" s="159">
        <f t="shared" si="364"/>
        <v>0</v>
      </c>
      <c r="AF682" s="159">
        <f t="shared" si="364"/>
        <v>0</v>
      </c>
      <c r="AG682" s="159">
        <f t="shared" si="364"/>
        <v>0</v>
      </c>
      <c r="AH682" s="159">
        <f t="shared" si="364"/>
        <v>0</v>
      </c>
      <c r="AI682" s="159">
        <f t="shared" si="364"/>
        <v>0</v>
      </c>
      <c r="AJ682" s="159">
        <f t="shared" si="364"/>
        <v>0</v>
      </c>
      <c r="AK682" s="159">
        <f t="shared" si="364"/>
        <v>0</v>
      </c>
      <c r="AL682" s="159">
        <f t="shared" si="364"/>
        <v>0</v>
      </c>
      <c r="AM682" s="159">
        <f t="shared" si="364"/>
        <v>0</v>
      </c>
      <c r="AN682" s="159">
        <f t="shared" si="364"/>
        <v>0</v>
      </c>
      <c r="AO682" s="159">
        <f t="shared" si="364"/>
        <v>0</v>
      </c>
      <c r="AP682" s="159">
        <f t="shared" si="364"/>
        <v>0</v>
      </c>
    </row>
    <row r="683" spans="1:42" x14ac:dyDescent="0.2">
      <c r="A683" s="4">
        <f t="shared" si="363"/>
        <v>4</v>
      </c>
      <c r="B683" s="176">
        <f t="shared" si="360"/>
        <v>0</v>
      </c>
      <c r="C683" s="159">
        <f t="shared" ref="C683:AP683" si="365">IF(C$2&gt;analysis_period,0,IF(C$2=equip1_reserve_freq*$A683,equip1_reserve_cost*system_capacity*1000*(1+inflation_rate/100)^B$2,0))</f>
        <v>0</v>
      </c>
      <c r="D683" s="159">
        <f t="shared" si="365"/>
        <v>0</v>
      </c>
      <c r="E683" s="159">
        <f t="shared" si="365"/>
        <v>0</v>
      </c>
      <c r="F683" s="159">
        <f t="shared" si="365"/>
        <v>0</v>
      </c>
      <c r="G683" s="159">
        <f t="shared" si="365"/>
        <v>0</v>
      </c>
      <c r="H683" s="159">
        <f t="shared" si="365"/>
        <v>0</v>
      </c>
      <c r="I683" s="159">
        <f t="shared" si="365"/>
        <v>0</v>
      </c>
      <c r="J683" s="159">
        <f t="shared" si="365"/>
        <v>0</v>
      </c>
      <c r="K683" s="159">
        <f t="shared" si="365"/>
        <v>0</v>
      </c>
      <c r="L683" s="159">
        <f t="shared" si="365"/>
        <v>0</v>
      </c>
      <c r="M683" s="159">
        <f t="shared" si="365"/>
        <v>0</v>
      </c>
      <c r="N683" s="159">
        <f t="shared" si="365"/>
        <v>0</v>
      </c>
      <c r="O683" s="159">
        <f t="shared" si="365"/>
        <v>0</v>
      </c>
      <c r="P683" s="159">
        <f t="shared" si="365"/>
        <v>0</v>
      </c>
      <c r="Q683" s="159">
        <f t="shared" si="365"/>
        <v>0</v>
      </c>
      <c r="R683" s="159">
        <f t="shared" si="365"/>
        <v>0</v>
      </c>
      <c r="S683" s="159">
        <f t="shared" si="365"/>
        <v>0</v>
      </c>
      <c r="T683" s="159">
        <f t="shared" si="365"/>
        <v>0</v>
      </c>
      <c r="U683" s="159">
        <f t="shared" si="365"/>
        <v>0</v>
      </c>
      <c r="V683" s="159">
        <f t="shared" si="365"/>
        <v>0</v>
      </c>
      <c r="W683" s="159">
        <f t="shared" si="365"/>
        <v>0</v>
      </c>
      <c r="X683" s="159">
        <f t="shared" si="365"/>
        <v>0</v>
      </c>
      <c r="Y683" s="159">
        <f t="shared" si="365"/>
        <v>0</v>
      </c>
      <c r="Z683" s="159">
        <f t="shared" si="365"/>
        <v>0</v>
      </c>
      <c r="AA683" s="159">
        <f t="shared" si="365"/>
        <v>0</v>
      </c>
      <c r="AB683" s="159">
        <f t="shared" si="365"/>
        <v>0</v>
      </c>
      <c r="AC683" s="159">
        <f t="shared" si="365"/>
        <v>0</v>
      </c>
      <c r="AD683" s="159">
        <f t="shared" si="365"/>
        <v>0</v>
      </c>
      <c r="AE683" s="159">
        <f t="shared" si="365"/>
        <v>0</v>
      </c>
      <c r="AF683" s="159">
        <f t="shared" si="365"/>
        <v>0</v>
      </c>
      <c r="AG683" s="159">
        <f t="shared" si="365"/>
        <v>0</v>
      </c>
      <c r="AH683" s="159">
        <f t="shared" si="365"/>
        <v>0</v>
      </c>
      <c r="AI683" s="159">
        <f t="shared" si="365"/>
        <v>0</v>
      </c>
      <c r="AJ683" s="159">
        <f t="shared" si="365"/>
        <v>0</v>
      </c>
      <c r="AK683" s="159">
        <f t="shared" si="365"/>
        <v>0</v>
      </c>
      <c r="AL683" s="159">
        <f t="shared" si="365"/>
        <v>0</v>
      </c>
      <c r="AM683" s="159">
        <f t="shared" si="365"/>
        <v>0</v>
      </c>
      <c r="AN683" s="159">
        <f t="shared" si="365"/>
        <v>0</v>
      </c>
      <c r="AO683" s="159">
        <f t="shared" si="365"/>
        <v>0</v>
      </c>
      <c r="AP683" s="159">
        <f t="shared" si="365"/>
        <v>0</v>
      </c>
    </row>
    <row r="684" spans="1:42" x14ac:dyDescent="0.2">
      <c r="A684" s="4">
        <f t="shared" si="363"/>
        <v>5</v>
      </c>
      <c r="B684" s="176">
        <f t="shared" si="360"/>
        <v>0</v>
      </c>
      <c r="C684" s="159">
        <f t="shared" ref="C684:AP684" si="366">IF(C$2&gt;analysis_period,0,IF(C$2=equip1_reserve_freq*$A684,equip1_reserve_cost*system_capacity*1000*(1+inflation_rate/100)^B$2,0))</f>
        <v>0</v>
      </c>
      <c r="D684" s="159">
        <f t="shared" si="366"/>
        <v>0</v>
      </c>
      <c r="E684" s="159">
        <f t="shared" si="366"/>
        <v>0</v>
      </c>
      <c r="F684" s="159">
        <f t="shared" si="366"/>
        <v>0</v>
      </c>
      <c r="G684" s="159">
        <f t="shared" si="366"/>
        <v>0</v>
      </c>
      <c r="H684" s="159">
        <f t="shared" si="366"/>
        <v>0</v>
      </c>
      <c r="I684" s="159">
        <f t="shared" si="366"/>
        <v>0</v>
      </c>
      <c r="J684" s="159">
        <f t="shared" si="366"/>
        <v>0</v>
      </c>
      <c r="K684" s="159">
        <f t="shared" si="366"/>
        <v>0</v>
      </c>
      <c r="L684" s="159">
        <f t="shared" si="366"/>
        <v>0</v>
      </c>
      <c r="M684" s="159">
        <f t="shared" si="366"/>
        <v>0</v>
      </c>
      <c r="N684" s="159">
        <f t="shared" si="366"/>
        <v>0</v>
      </c>
      <c r="O684" s="159">
        <f t="shared" si="366"/>
        <v>0</v>
      </c>
      <c r="P684" s="159">
        <f t="shared" si="366"/>
        <v>0</v>
      </c>
      <c r="Q684" s="159">
        <f t="shared" si="366"/>
        <v>0</v>
      </c>
      <c r="R684" s="159">
        <f t="shared" si="366"/>
        <v>0</v>
      </c>
      <c r="S684" s="159">
        <f t="shared" si="366"/>
        <v>0</v>
      </c>
      <c r="T684" s="159">
        <f t="shared" si="366"/>
        <v>0</v>
      </c>
      <c r="U684" s="159">
        <f t="shared" si="366"/>
        <v>0</v>
      </c>
      <c r="V684" s="159">
        <f t="shared" si="366"/>
        <v>0</v>
      </c>
      <c r="W684" s="159">
        <f t="shared" si="366"/>
        <v>0</v>
      </c>
      <c r="X684" s="159">
        <f t="shared" si="366"/>
        <v>0</v>
      </c>
      <c r="Y684" s="159">
        <f t="shared" si="366"/>
        <v>0</v>
      </c>
      <c r="Z684" s="159">
        <f t="shared" si="366"/>
        <v>0</v>
      </c>
      <c r="AA684" s="159">
        <f t="shared" si="366"/>
        <v>0</v>
      </c>
      <c r="AB684" s="159">
        <f t="shared" si="366"/>
        <v>0</v>
      </c>
      <c r="AC684" s="159">
        <f t="shared" si="366"/>
        <v>0</v>
      </c>
      <c r="AD684" s="159">
        <f t="shared" si="366"/>
        <v>0</v>
      </c>
      <c r="AE684" s="159">
        <f t="shared" si="366"/>
        <v>0</v>
      </c>
      <c r="AF684" s="159">
        <f t="shared" si="366"/>
        <v>0</v>
      </c>
      <c r="AG684" s="159">
        <f t="shared" si="366"/>
        <v>0</v>
      </c>
      <c r="AH684" s="159">
        <f t="shared" si="366"/>
        <v>0</v>
      </c>
      <c r="AI684" s="159">
        <f t="shared" si="366"/>
        <v>0</v>
      </c>
      <c r="AJ684" s="159">
        <f t="shared" si="366"/>
        <v>0</v>
      </c>
      <c r="AK684" s="159">
        <f t="shared" si="366"/>
        <v>0</v>
      </c>
      <c r="AL684" s="159">
        <f t="shared" si="366"/>
        <v>0</v>
      </c>
      <c r="AM684" s="159">
        <f t="shared" si="366"/>
        <v>0</v>
      </c>
      <c r="AN684" s="159">
        <f t="shared" si="366"/>
        <v>0</v>
      </c>
      <c r="AO684" s="159">
        <f t="shared" si="366"/>
        <v>0</v>
      </c>
      <c r="AP684" s="159">
        <f t="shared" si="366"/>
        <v>0</v>
      </c>
    </row>
    <row r="685" spans="1:42" x14ac:dyDescent="0.2">
      <c r="A685" s="4">
        <f t="shared" si="363"/>
        <v>6</v>
      </c>
      <c r="B685" s="176">
        <f t="shared" si="360"/>
        <v>0</v>
      </c>
      <c r="C685" s="159">
        <f t="shared" ref="C685:AP685" si="367">IF(C$2&gt;analysis_period,0,IF(C$2=equip1_reserve_freq*$A685,equip1_reserve_cost*system_capacity*1000*(1+inflation_rate/100)^B$2,0))</f>
        <v>0</v>
      </c>
      <c r="D685" s="159">
        <f t="shared" si="367"/>
        <v>0</v>
      </c>
      <c r="E685" s="159">
        <f t="shared" si="367"/>
        <v>0</v>
      </c>
      <c r="F685" s="159">
        <f t="shared" si="367"/>
        <v>0</v>
      </c>
      <c r="G685" s="159">
        <f t="shared" si="367"/>
        <v>0</v>
      </c>
      <c r="H685" s="159">
        <f t="shared" si="367"/>
        <v>0</v>
      </c>
      <c r="I685" s="159">
        <f t="shared" si="367"/>
        <v>0</v>
      </c>
      <c r="J685" s="159">
        <f t="shared" si="367"/>
        <v>0</v>
      </c>
      <c r="K685" s="159">
        <f t="shared" si="367"/>
        <v>0</v>
      </c>
      <c r="L685" s="159">
        <f t="shared" si="367"/>
        <v>0</v>
      </c>
      <c r="M685" s="159">
        <f t="shared" si="367"/>
        <v>0</v>
      </c>
      <c r="N685" s="159">
        <f t="shared" si="367"/>
        <v>0</v>
      </c>
      <c r="O685" s="159">
        <f t="shared" si="367"/>
        <v>0</v>
      </c>
      <c r="P685" s="159">
        <f t="shared" si="367"/>
        <v>0</v>
      </c>
      <c r="Q685" s="159">
        <f t="shared" si="367"/>
        <v>0</v>
      </c>
      <c r="R685" s="159">
        <f t="shared" si="367"/>
        <v>0</v>
      </c>
      <c r="S685" s="159">
        <f t="shared" si="367"/>
        <v>0</v>
      </c>
      <c r="T685" s="159">
        <f t="shared" si="367"/>
        <v>0</v>
      </c>
      <c r="U685" s="159">
        <f t="shared" si="367"/>
        <v>0</v>
      </c>
      <c r="V685" s="159">
        <f t="shared" si="367"/>
        <v>0</v>
      </c>
      <c r="W685" s="159">
        <f t="shared" si="367"/>
        <v>0</v>
      </c>
      <c r="X685" s="159">
        <f t="shared" si="367"/>
        <v>0</v>
      </c>
      <c r="Y685" s="159">
        <f t="shared" si="367"/>
        <v>0</v>
      </c>
      <c r="Z685" s="159">
        <f t="shared" si="367"/>
        <v>0</v>
      </c>
      <c r="AA685" s="159">
        <f t="shared" si="367"/>
        <v>0</v>
      </c>
      <c r="AB685" s="159">
        <f t="shared" si="367"/>
        <v>0</v>
      </c>
      <c r="AC685" s="159">
        <f t="shared" si="367"/>
        <v>0</v>
      </c>
      <c r="AD685" s="159">
        <f t="shared" si="367"/>
        <v>0</v>
      </c>
      <c r="AE685" s="159">
        <f t="shared" si="367"/>
        <v>0</v>
      </c>
      <c r="AF685" s="159">
        <f t="shared" si="367"/>
        <v>0</v>
      </c>
      <c r="AG685" s="159">
        <f t="shared" si="367"/>
        <v>0</v>
      </c>
      <c r="AH685" s="159">
        <f t="shared" si="367"/>
        <v>0</v>
      </c>
      <c r="AI685" s="159">
        <f t="shared" si="367"/>
        <v>0</v>
      </c>
      <c r="AJ685" s="159">
        <f t="shared" si="367"/>
        <v>0</v>
      </c>
      <c r="AK685" s="159">
        <f t="shared" si="367"/>
        <v>0</v>
      </c>
      <c r="AL685" s="159">
        <f t="shared" si="367"/>
        <v>0</v>
      </c>
      <c r="AM685" s="159">
        <f t="shared" si="367"/>
        <v>0</v>
      </c>
      <c r="AN685" s="159">
        <f t="shared" si="367"/>
        <v>0</v>
      </c>
      <c r="AO685" s="159">
        <f t="shared" si="367"/>
        <v>0</v>
      </c>
      <c r="AP685" s="159">
        <f t="shared" si="367"/>
        <v>0</v>
      </c>
    </row>
    <row r="686" spans="1:42" x14ac:dyDescent="0.2">
      <c r="A686" s="4">
        <f t="shared" si="363"/>
        <v>7</v>
      </c>
      <c r="B686" s="176">
        <f t="shared" si="360"/>
        <v>0</v>
      </c>
      <c r="C686" s="159">
        <f t="shared" ref="C686:AP686" si="368">IF(C$2&gt;analysis_period,0,IF(C$2=equip1_reserve_freq*$A686,equip1_reserve_cost*system_capacity*1000*(1+inflation_rate/100)^B$2,0))</f>
        <v>0</v>
      </c>
      <c r="D686" s="159">
        <f t="shared" si="368"/>
        <v>0</v>
      </c>
      <c r="E686" s="159">
        <f t="shared" si="368"/>
        <v>0</v>
      </c>
      <c r="F686" s="159">
        <f t="shared" si="368"/>
        <v>0</v>
      </c>
      <c r="G686" s="159">
        <f t="shared" si="368"/>
        <v>0</v>
      </c>
      <c r="H686" s="159">
        <f t="shared" si="368"/>
        <v>0</v>
      </c>
      <c r="I686" s="159">
        <f t="shared" si="368"/>
        <v>0</v>
      </c>
      <c r="J686" s="159">
        <f t="shared" si="368"/>
        <v>0</v>
      </c>
      <c r="K686" s="159">
        <f t="shared" si="368"/>
        <v>0</v>
      </c>
      <c r="L686" s="159">
        <f t="shared" si="368"/>
        <v>0</v>
      </c>
      <c r="M686" s="159">
        <f t="shared" si="368"/>
        <v>0</v>
      </c>
      <c r="N686" s="159">
        <f t="shared" si="368"/>
        <v>0</v>
      </c>
      <c r="O686" s="159">
        <f t="shared" si="368"/>
        <v>0</v>
      </c>
      <c r="P686" s="159">
        <f t="shared" si="368"/>
        <v>0</v>
      </c>
      <c r="Q686" s="159">
        <f t="shared" si="368"/>
        <v>0</v>
      </c>
      <c r="R686" s="159">
        <f t="shared" si="368"/>
        <v>0</v>
      </c>
      <c r="S686" s="159">
        <f t="shared" si="368"/>
        <v>0</v>
      </c>
      <c r="T686" s="159">
        <f t="shared" si="368"/>
        <v>0</v>
      </c>
      <c r="U686" s="159">
        <f t="shared" si="368"/>
        <v>0</v>
      </c>
      <c r="V686" s="159">
        <f t="shared" si="368"/>
        <v>0</v>
      </c>
      <c r="W686" s="159">
        <f t="shared" si="368"/>
        <v>0</v>
      </c>
      <c r="X686" s="159">
        <f t="shared" si="368"/>
        <v>0</v>
      </c>
      <c r="Y686" s="159">
        <f t="shared" si="368"/>
        <v>0</v>
      </c>
      <c r="Z686" s="159">
        <f t="shared" si="368"/>
        <v>0</v>
      </c>
      <c r="AA686" s="159">
        <f t="shared" si="368"/>
        <v>0</v>
      </c>
      <c r="AB686" s="159">
        <f t="shared" si="368"/>
        <v>0</v>
      </c>
      <c r="AC686" s="159">
        <f t="shared" si="368"/>
        <v>0</v>
      </c>
      <c r="AD686" s="159">
        <f t="shared" si="368"/>
        <v>0</v>
      </c>
      <c r="AE686" s="159">
        <f t="shared" si="368"/>
        <v>0</v>
      </c>
      <c r="AF686" s="159">
        <f t="shared" si="368"/>
        <v>0</v>
      </c>
      <c r="AG686" s="159">
        <f t="shared" si="368"/>
        <v>0</v>
      </c>
      <c r="AH686" s="159">
        <f t="shared" si="368"/>
        <v>0</v>
      </c>
      <c r="AI686" s="159">
        <f t="shared" si="368"/>
        <v>0</v>
      </c>
      <c r="AJ686" s="159">
        <f t="shared" si="368"/>
        <v>0</v>
      </c>
      <c r="AK686" s="159">
        <f t="shared" si="368"/>
        <v>0</v>
      </c>
      <c r="AL686" s="159">
        <f t="shared" si="368"/>
        <v>0</v>
      </c>
      <c r="AM686" s="159">
        <f t="shared" si="368"/>
        <v>0</v>
      </c>
      <c r="AN686" s="159">
        <f t="shared" si="368"/>
        <v>0</v>
      </c>
      <c r="AO686" s="159">
        <f t="shared" si="368"/>
        <v>0</v>
      </c>
      <c r="AP686" s="159">
        <f t="shared" si="368"/>
        <v>0</v>
      </c>
    </row>
    <row r="687" spans="1:42" x14ac:dyDescent="0.2">
      <c r="A687" s="4">
        <f t="shared" si="363"/>
        <v>8</v>
      </c>
      <c r="B687" s="176">
        <f t="shared" si="360"/>
        <v>0</v>
      </c>
      <c r="C687" s="159">
        <f t="shared" ref="C687:AP687" si="369">IF(C$2&gt;analysis_period,0,IF(C$2=equip1_reserve_freq*$A687,equip1_reserve_cost*system_capacity*1000*(1+inflation_rate/100)^B$2,0))</f>
        <v>0</v>
      </c>
      <c r="D687" s="159">
        <f t="shared" si="369"/>
        <v>0</v>
      </c>
      <c r="E687" s="159">
        <f t="shared" si="369"/>
        <v>0</v>
      </c>
      <c r="F687" s="159">
        <f t="shared" si="369"/>
        <v>0</v>
      </c>
      <c r="G687" s="159">
        <f t="shared" si="369"/>
        <v>0</v>
      </c>
      <c r="H687" s="159">
        <f t="shared" si="369"/>
        <v>0</v>
      </c>
      <c r="I687" s="159">
        <f t="shared" si="369"/>
        <v>0</v>
      </c>
      <c r="J687" s="159">
        <f t="shared" si="369"/>
        <v>0</v>
      </c>
      <c r="K687" s="159">
        <f t="shared" si="369"/>
        <v>0</v>
      </c>
      <c r="L687" s="159">
        <f t="shared" si="369"/>
        <v>0</v>
      </c>
      <c r="M687" s="159">
        <f t="shared" si="369"/>
        <v>0</v>
      </c>
      <c r="N687" s="159">
        <f t="shared" si="369"/>
        <v>0</v>
      </c>
      <c r="O687" s="159">
        <f t="shared" si="369"/>
        <v>0</v>
      </c>
      <c r="P687" s="159">
        <f t="shared" si="369"/>
        <v>0</v>
      </c>
      <c r="Q687" s="159">
        <f t="shared" si="369"/>
        <v>0</v>
      </c>
      <c r="R687" s="159">
        <f t="shared" si="369"/>
        <v>0</v>
      </c>
      <c r="S687" s="159">
        <f t="shared" si="369"/>
        <v>0</v>
      </c>
      <c r="T687" s="159">
        <f t="shared" si="369"/>
        <v>0</v>
      </c>
      <c r="U687" s="159">
        <f t="shared" si="369"/>
        <v>0</v>
      </c>
      <c r="V687" s="159">
        <f t="shared" si="369"/>
        <v>0</v>
      </c>
      <c r="W687" s="159">
        <f t="shared" si="369"/>
        <v>0</v>
      </c>
      <c r="X687" s="159">
        <f t="shared" si="369"/>
        <v>0</v>
      </c>
      <c r="Y687" s="159">
        <f t="shared" si="369"/>
        <v>0</v>
      </c>
      <c r="Z687" s="159">
        <f t="shared" si="369"/>
        <v>0</v>
      </c>
      <c r="AA687" s="159">
        <f t="shared" si="369"/>
        <v>0</v>
      </c>
      <c r="AB687" s="159">
        <f t="shared" si="369"/>
        <v>0</v>
      </c>
      <c r="AC687" s="159">
        <f t="shared" si="369"/>
        <v>0</v>
      </c>
      <c r="AD687" s="159">
        <f t="shared" si="369"/>
        <v>0</v>
      </c>
      <c r="AE687" s="159">
        <f t="shared" si="369"/>
        <v>0</v>
      </c>
      <c r="AF687" s="159">
        <f t="shared" si="369"/>
        <v>0</v>
      </c>
      <c r="AG687" s="159">
        <f t="shared" si="369"/>
        <v>0</v>
      </c>
      <c r="AH687" s="159">
        <f t="shared" si="369"/>
        <v>0</v>
      </c>
      <c r="AI687" s="159">
        <f t="shared" si="369"/>
        <v>0</v>
      </c>
      <c r="AJ687" s="159">
        <f t="shared" si="369"/>
        <v>0</v>
      </c>
      <c r="AK687" s="159">
        <f t="shared" si="369"/>
        <v>0</v>
      </c>
      <c r="AL687" s="159">
        <f t="shared" si="369"/>
        <v>0</v>
      </c>
      <c r="AM687" s="159">
        <f t="shared" si="369"/>
        <v>0</v>
      </c>
      <c r="AN687" s="159">
        <f t="shared" si="369"/>
        <v>0</v>
      </c>
      <c r="AO687" s="159">
        <f t="shared" si="369"/>
        <v>0</v>
      </c>
      <c r="AP687" s="159">
        <f t="shared" si="369"/>
        <v>0</v>
      </c>
    </row>
    <row r="688" spans="1:42" x14ac:dyDescent="0.2">
      <c r="A688" s="4">
        <f>A687+1</f>
        <v>9</v>
      </c>
      <c r="B688" s="176">
        <f t="shared" si="360"/>
        <v>0</v>
      </c>
      <c r="C688" s="159">
        <f t="shared" ref="C688:AP688" si="370">IF(C$2&gt;analysis_period,0,IF(C$2=equip1_reserve_freq*$A688,equip1_reserve_cost*system_capacity*1000*(1+inflation_rate/100)^B$2,0))</f>
        <v>0</v>
      </c>
      <c r="D688" s="159">
        <f t="shared" si="370"/>
        <v>0</v>
      </c>
      <c r="E688" s="159">
        <f t="shared" si="370"/>
        <v>0</v>
      </c>
      <c r="F688" s="159">
        <f t="shared" si="370"/>
        <v>0</v>
      </c>
      <c r="G688" s="159">
        <f t="shared" si="370"/>
        <v>0</v>
      </c>
      <c r="H688" s="159">
        <f t="shared" si="370"/>
        <v>0</v>
      </c>
      <c r="I688" s="159">
        <f t="shared" si="370"/>
        <v>0</v>
      </c>
      <c r="J688" s="159">
        <f t="shared" si="370"/>
        <v>0</v>
      </c>
      <c r="K688" s="159">
        <f t="shared" si="370"/>
        <v>0</v>
      </c>
      <c r="L688" s="159">
        <f t="shared" si="370"/>
        <v>0</v>
      </c>
      <c r="M688" s="159">
        <f t="shared" si="370"/>
        <v>0</v>
      </c>
      <c r="N688" s="159">
        <f t="shared" si="370"/>
        <v>0</v>
      </c>
      <c r="O688" s="159">
        <f t="shared" si="370"/>
        <v>0</v>
      </c>
      <c r="P688" s="159">
        <f t="shared" si="370"/>
        <v>0</v>
      </c>
      <c r="Q688" s="159">
        <f t="shared" si="370"/>
        <v>0</v>
      </c>
      <c r="R688" s="159">
        <f t="shared" si="370"/>
        <v>0</v>
      </c>
      <c r="S688" s="159">
        <f t="shared" si="370"/>
        <v>0</v>
      </c>
      <c r="T688" s="159">
        <f t="shared" si="370"/>
        <v>0</v>
      </c>
      <c r="U688" s="159">
        <f t="shared" si="370"/>
        <v>0</v>
      </c>
      <c r="V688" s="159">
        <f t="shared" si="370"/>
        <v>0</v>
      </c>
      <c r="W688" s="159">
        <f t="shared" si="370"/>
        <v>0</v>
      </c>
      <c r="X688" s="159">
        <f t="shared" si="370"/>
        <v>0</v>
      </c>
      <c r="Y688" s="159">
        <f t="shared" si="370"/>
        <v>0</v>
      </c>
      <c r="Z688" s="159">
        <f t="shared" si="370"/>
        <v>0</v>
      </c>
      <c r="AA688" s="159">
        <f t="shared" si="370"/>
        <v>0</v>
      </c>
      <c r="AB688" s="159">
        <f t="shared" si="370"/>
        <v>0</v>
      </c>
      <c r="AC688" s="159">
        <f t="shared" si="370"/>
        <v>0</v>
      </c>
      <c r="AD688" s="159">
        <f t="shared" si="370"/>
        <v>0</v>
      </c>
      <c r="AE688" s="159">
        <f t="shared" si="370"/>
        <v>0</v>
      </c>
      <c r="AF688" s="159">
        <f t="shared" si="370"/>
        <v>0</v>
      </c>
      <c r="AG688" s="159">
        <f t="shared" si="370"/>
        <v>0</v>
      </c>
      <c r="AH688" s="159">
        <f t="shared" si="370"/>
        <v>0</v>
      </c>
      <c r="AI688" s="159">
        <f t="shared" si="370"/>
        <v>0</v>
      </c>
      <c r="AJ688" s="159">
        <f t="shared" si="370"/>
        <v>0</v>
      </c>
      <c r="AK688" s="159">
        <f t="shared" si="370"/>
        <v>0</v>
      </c>
      <c r="AL688" s="159">
        <f t="shared" si="370"/>
        <v>0</v>
      </c>
      <c r="AM688" s="159">
        <f t="shared" si="370"/>
        <v>0</v>
      </c>
      <c r="AN688" s="159">
        <f t="shared" si="370"/>
        <v>0</v>
      </c>
      <c r="AO688" s="159">
        <f t="shared" si="370"/>
        <v>0</v>
      </c>
      <c r="AP688" s="159">
        <f t="shared" si="370"/>
        <v>0</v>
      </c>
    </row>
    <row r="689" spans="1:42" x14ac:dyDescent="0.2">
      <c r="A689" s="4">
        <f t="shared" si="363"/>
        <v>10</v>
      </c>
      <c r="B689" s="176">
        <f t="shared" si="360"/>
        <v>0</v>
      </c>
      <c r="C689" s="159">
        <f t="shared" ref="C689:AP689" si="371">IF(C$2&gt;analysis_period,0,IF(C$2=equip1_reserve_freq*$A689,equip1_reserve_cost*system_capacity*1000*(1+inflation_rate/100)^B$2,0))</f>
        <v>0</v>
      </c>
      <c r="D689" s="159">
        <f t="shared" si="371"/>
        <v>0</v>
      </c>
      <c r="E689" s="159">
        <f t="shared" si="371"/>
        <v>0</v>
      </c>
      <c r="F689" s="159">
        <f t="shared" si="371"/>
        <v>0</v>
      </c>
      <c r="G689" s="159">
        <f t="shared" si="371"/>
        <v>0</v>
      </c>
      <c r="H689" s="159">
        <f t="shared" si="371"/>
        <v>0</v>
      </c>
      <c r="I689" s="159">
        <f t="shared" si="371"/>
        <v>0</v>
      </c>
      <c r="J689" s="159">
        <f t="shared" si="371"/>
        <v>0</v>
      </c>
      <c r="K689" s="159">
        <f t="shared" si="371"/>
        <v>0</v>
      </c>
      <c r="L689" s="159">
        <f t="shared" si="371"/>
        <v>0</v>
      </c>
      <c r="M689" s="159">
        <f t="shared" si="371"/>
        <v>0</v>
      </c>
      <c r="N689" s="159">
        <f t="shared" si="371"/>
        <v>0</v>
      </c>
      <c r="O689" s="159">
        <f t="shared" si="371"/>
        <v>0</v>
      </c>
      <c r="P689" s="159">
        <f t="shared" si="371"/>
        <v>0</v>
      </c>
      <c r="Q689" s="159">
        <f t="shared" si="371"/>
        <v>0</v>
      </c>
      <c r="R689" s="159">
        <f t="shared" si="371"/>
        <v>0</v>
      </c>
      <c r="S689" s="159">
        <f t="shared" si="371"/>
        <v>0</v>
      </c>
      <c r="T689" s="159">
        <f t="shared" si="371"/>
        <v>0</v>
      </c>
      <c r="U689" s="159">
        <f t="shared" si="371"/>
        <v>0</v>
      </c>
      <c r="V689" s="159">
        <f t="shared" si="371"/>
        <v>0</v>
      </c>
      <c r="W689" s="159">
        <f t="shared" si="371"/>
        <v>0</v>
      </c>
      <c r="X689" s="159">
        <f t="shared" si="371"/>
        <v>0</v>
      </c>
      <c r="Y689" s="159">
        <f t="shared" si="371"/>
        <v>0</v>
      </c>
      <c r="Z689" s="159">
        <f t="shared" si="371"/>
        <v>0</v>
      </c>
      <c r="AA689" s="159">
        <f t="shared" si="371"/>
        <v>0</v>
      </c>
      <c r="AB689" s="159">
        <f t="shared" si="371"/>
        <v>0</v>
      </c>
      <c r="AC689" s="159">
        <f t="shared" si="371"/>
        <v>0</v>
      </c>
      <c r="AD689" s="159">
        <f t="shared" si="371"/>
        <v>0</v>
      </c>
      <c r="AE689" s="159">
        <f t="shared" si="371"/>
        <v>0</v>
      </c>
      <c r="AF689" s="159">
        <f t="shared" si="371"/>
        <v>0</v>
      </c>
      <c r="AG689" s="159">
        <f t="shared" si="371"/>
        <v>0</v>
      </c>
      <c r="AH689" s="159">
        <f t="shared" si="371"/>
        <v>0</v>
      </c>
      <c r="AI689" s="159">
        <f t="shared" si="371"/>
        <v>0</v>
      </c>
      <c r="AJ689" s="159">
        <f t="shared" si="371"/>
        <v>0</v>
      </c>
      <c r="AK689" s="159">
        <f t="shared" si="371"/>
        <v>0</v>
      </c>
      <c r="AL689" s="159">
        <f t="shared" si="371"/>
        <v>0</v>
      </c>
      <c r="AM689" s="159">
        <f t="shared" si="371"/>
        <v>0</v>
      </c>
      <c r="AN689" s="159">
        <f t="shared" si="371"/>
        <v>0</v>
      </c>
      <c r="AO689" s="159">
        <f t="shared" si="371"/>
        <v>0</v>
      </c>
      <c r="AP689" s="159">
        <f t="shared" si="371"/>
        <v>0</v>
      </c>
    </row>
    <row r="690" spans="1:42" x14ac:dyDescent="0.2">
      <c r="A690" s="27" t="s">
        <v>13</v>
      </c>
      <c r="B690" s="15"/>
      <c r="C690" s="159">
        <f>SUM(C680:C689)</f>
        <v>0</v>
      </c>
      <c r="D690" s="159">
        <f t="shared" ref="D690:AD690" si="372">SUM(D680:D689)</f>
        <v>0</v>
      </c>
      <c r="E690" s="159">
        <f t="shared" si="372"/>
        <v>0</v>
      </c>
      <c r="F690" s="159">
        <f t="shared" si="372"/>
        <v>0</v>
      </c>
      <c r="G690" s="159">
        <f t="shared" si="372"/>
        <v>0</v>
      </c>
      <c r="H690" s="159">
        <f t="shared" si="372"/>
        <v>0</v>
      </c>
      <c r="I690" s="159">
        <f t="shared" si="372"/>
        <v>0</v>
      </c>
      <c r="J690" s="159">
        <f t="shared" si="372"/>
        <v>0</v>
      </c>
      <c r="K690" s="159">
        <f t="shared" si="372"/>
        <v>0</v>
      </c>
      <c r="L690" s="159">
        <f t="shared" si="372"/>
        <v>0</v>
      </c>
      <c r="M690" s="159">
        <f t="shared" si="372"/>
        <v>0</v>
      </c>
      <c r="N690" s="159">
        <f t="shared" si="372"/>
        <v>0</v>
      </c>
      <c r="O690" s="159">
        <f t="shared" si="372"/>
        <v>0</v>
      </c>
      <c r="P690" s="159">
        <f t="shared" si="372"/>
        <v>0</v>
      </c>
      <c r="Q690" s="159">
        <f t="shared" si="372"/>
        <v>14129738.20973766</v>
      </c>
      <c r="R690" s="159">
        <f t="shared" si="372"/>
        <v>0</v>
      </c>
      <c r="S690" s="159">
        <f t="shared" si="372"/>
        <v>0</v>
      </c>
      <c r="T690" s="159">
        <f t="shared" si="372"/>
        <v>0</v>
      </c>
      <c r="U690" s="159">
        <f t="shared" si="372"/>
        <v>0</v>
      </c>
      <c r="V690" s="159">
        <f t="shared" si="372"/>
        <v>0</v>
      </c>
      <c r="W690" s="159">
        <f t="shared" si="372"/>
        <v>0</v>
      </c>
      <c r="X690" s="159">
        <f t="shared" si="372"/>
        <v>0</v>
      </c>
      <c r="Y690" s="159">
        <f t="shared" si="372"/>
        <v>0</v>
      </c>
      <c r="Z690" s="159">
        <f t="shared" si="372"/>
        <v>0</v>
      </c>
      <c r="AA690" s="159">
        <f t="shared" si="372"/>
        <v>0</v>
      </c>
      <c r="AB690" s="159">
        <f t="shared" si="372"/>
        <v>0</v>
      </c>
      <c r="AC690" s="159">
        <f t="shared" si="372"/>
        <v>0</v>
      </c>
      <c r="AD690" s="159">
        <f t="shared" si="372"/>
        <v>0</v>
      </c>
      <c r="AE690" s="159">
        <f t="shared" ref="AE690" si="373">SUM(AE680:AE689)</f>
        <v>0</v>
      </c>
      <c r="AF690" s="159">
        <f t="shared" ref="AF690:AP690" si="374">SUM(AF680:AF689)</f>
        <v>0</v>
      </c>
      <c r="AG690" s="159">
        <f t="shared" si="374"/>
        <v>0</v>
      </c>
      <c r="AH690" s="159">
        <f t="shared" si="374"/>
        <v>0</v>
      </c>
      <c r="AI690" s="159">
        <f t="shared" si="374"/>
        <v>0</v>
      </c>
      <c r="AJ690" s="159">
        <f t="shared" si="374"/>
        <v>0</v>
      </c>
      <c r="AK690" s="159">
        <f t="shared" si="374"/>
        <v>0</v>
      </c>
      <c r="AL690" s="159">
        <f t="shared" si="374"/>
        <v>0</v>
      </c>
      <c r="AM690" s="159">
        <f t="shared" si="374"/>
        <v>0</v>
      </c>
      <c r="AN690" s="159">
        <f t="shared" si="374"/>
        <v>0</v>
      </c>
      <c r="AO690" s="159">
        <f t="shared" si="374"/>
        <v>0</v>
      </c>
      <c r="AP690" s="159">
        <f t="shared" si="374"/>
        <v>0</v>
      </c>
    </row>
    <row r="691" spans="1:42" x14ac:dyDescent="0.2">
      <c r="A691" s="4" t="s">
        <v>229</v>
      </c>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row>
    <row r="692" spans="1:42" x14ac:dyDescent="0.2">
      <c r="A692" s="4">
        <v>1</v>
      </c>
      <c r="B692" s="176">
        <f t="shared" ref="B692:B701" si="375">SUM(C692:AP692)</f>
        <v>14129738.209737657</v>
      </c>
      <c r="C692" s="159">
        <f t="shared" ref="C692:AP692" si="376">IF(C$2&lt;=equip1_reserve_freq*$A$680,$B$680/(equip1_reserve_freq),0)</f>
        <v>941982.54731584399</v>
      </c>
      <c r="D692" s="159">
        <f t="shared" si="376"/>
        <v>941982.54731584399</v>
      </c>
      <c r="E692" s="159">
        <f t="shared" si="376"/>
        <v>941982.54731584399</v>
      </c>
      <c r="F692" s="159">
        <f t="shared" si="376"/>
        <v>941982.54731584399</v>
      </c>
      <c r="G692" s="159">
        <f t="shared" si="376"/>
        <v>941982.54731584399</v>
      </c>
      <c r="H692" s="159">
        <f t="shared" si="376"/>
        <v>941982.54731584399</v>
      </c>
      <c r="I692" s="159">
        <f t="shared" si="376"/>
        <v>941982.54731584399</v>
      </c>
      <c r="J692" s="159">
        <f t="shared" si="376"/>
        <v>941982.54731584399</v>
      </c>
      <c r="K692" s="159">
        <f t="shared" si="376"/>
        <v>941982.54731584399</v>
      </c>
      <c r="L692" s="159">
        <f t="shared" si="376"/>
        <v>941982.54731584399</v>
      </c>
      <c r="M692" s="159">
        <f t="shared" si="376"/>
        <v>941982.54731584399</v>
      </c>
      <c r="N692" s="159">
        <f t="shared" si="376"/>
        <v>941982.54731584399</v>
      </c>
      <c r="O692" s="159">
        <f t="shared" si="376"/>
        <v>941982.54731584399</v>
      </c>
      <c r="P692" s="159">
        <f t="shared" si="376"/>
        <v>941982.54731584399</v>
      </c>
      <c r="Q692" s="159">
        <f t="shared" si="376"/>
        <v>941982.54731584399</v>
      </c>
      <c r="R692" s="159">
        <f t="shared" si="376"/>
        <v>0</v>
      </c>
      <c r="S692" s="159">
        <f t="shared" si="376"/>
        <v>0</v>
      </c>
      <c r="T692" s="159">
        <f t="shared" si="376"/>
        <v>0</v>
      </c>
      <c r="U692" s="159">
        <f t="shared" si="376"/>
        <v>0</v>
      </c>
      <c r="V692" s="159">
        <f t="shared" si="376"/>
        <v>0</v>
      </c>
      <c r="W692" s="159">
        <f t="shared" si="376"/>
        <v>0</v>
      </c>
      <c r="X692" s="159">
        <f t="shared" si="376"/>
        <v>0</v>
      </c>
      <c r="Y692" s="159">
        <f t="shared" si="376"/>
        <v>0</v>
      </c>
      <c r="Z692" s="159">
        <f t="shared" si="376"/>
        <v>0</v>
      </c>
      <c r="AA692" s="159">
        <f t="shared" si="376"/>
        <v>0</v>
      </c>
      <c r="AB692" s="159">
        <f t="shared" si="376"/>
        <v>0</v>
      </c>
      <c r="AC692" s="159">
        <f t="shared" si="376"/>
        <v>0</v>
      </c>
      <c r="AD692" s="159">
        <f t="shared" si="376"/>
        <v>0</v>
      </c>
      <c r="AE692" s="159">
        <f t="shared" si="376"/>
        <v>0</v>
      </c>
      <c r="AF692" s="159">
        <f t="shared" si="376"/>
        <v>0</v>
      </c>
      <c r="AG692" s="159">
        <f t="shared" si="376"/>
        <v>0</v>
      </c>
      <c r="AH692" s="159">
        <f t="shared" si="376"/>
        <v>0</v>
      </c>
      <c r="AI692" s="159">
        <f t="shared" si="376"/>
        <v>0</v>
      </c>
      <c r="AJ692" s="159">
        <f t="shared" si="376"/>
        <v>0</v>
      </c>
      <c r="AK692" s="159">
        <f t="shared" si="376"/>
        <v>0</v>
      </c>
      <c r="AL692" s="159">
        <f t="shared" si="376"/>
        <v>0</v>
      </c>
      <c r="AM692" s="159">
        <f t="shared" si="376"/>
        <v>0</v>
      </c>
      <c r="AN692" s="159">
        <f t="shared" si="376"/>
        <v>0</v>
      </c>
      <c r="AO692" s="159">
        <f t="shared" si="376"/>
        <v>0</v>
      </c>
      <c r="AP692" s="159">
        <f t="shared" si="376"/>
        <v>0</v>
      </c>
    </row>
    <row r="693" spans="1:42" x14ac:dyDescent="0.2">
      <c r="A693" s="4">
        <f>A692+1</f>
        <v>2</v>
      </c>
      <c r="B693" s="176">
        <f t="shared" si="375"/>
        <v>0</v>
      </c>
      <c r="C693" s="178">
        <f t="shared" ref="C693:AP693" si="377">IF(AND(C$2&gt;equip1_reserve_freq*$A680,C$2&lt;=equip1_reserve_freq*$A681),$B681/(equip1_reserve_freq),0)</f>
        <v>0</v>
      </c>
      <c r="D693" s="159">
        <f t="shared" si="377"/>
        <v>0</v>
      </c>
      <c r="E693" s="159">
        <f t="shared" si="377"/>
        <v>0</v>
      </c>
      <c r="F693" s="159">
        <f t="shared" si="377"/>
        <v>0</v>
      </c>
      <c r="G693" s="159">
        <f t="shared" si="377"/>
        <v>0</v>
      </c>
      <c r="H693" s="159">
        <f t="shared" si="377"/>
        <v>0</v>
      </c>
      <c r="I693" s="159">
        <f t="shared" si="377"/>
        <v>0</v>
      </c>
      <c r="J693" s="159">
        <f t="shared" si="377"/>
        <v>0</v>
      </c>
      <c r="K693" s="159">
        <f t="shared" si="377"/>
        <v>0</v>
      </c>
      <c r="L693" s="159">
        <f t="shared" si="377"/>
        <v>0</v>
      </c>
      <c r="M693" s="159">
        <f t="shared" si="377"/>
        <v>0</v>
      </c>
      <c r="N693" s="159">
        <f t="shared" si="377"/>
        <v>0</v>
      </c>
      <c r="O693" s="159">
        <f t="shared" si="377"/>
        <v>0</v>
      </c>
      <c r="P693" s="159">
        <f t="shared" si="377"/>
        <v>0</v>
      </c>
      <c r="Q693" s="159">
        <f t="shared" si="377"/>
        <v>0</v>
      </c>
      <c r="R693" s="159">
        <f t="shared" si="377"/>
        <v>0</v>
      </c>
      <c r="S693" s="159">
        <f t="shared" si="377"/>
        <v>0</v>
      </c>
      <c r="T693" s="159">
        <f t="shared" si="377"/>
        <v>0</v>
      </c>
      <c r="U693" s="159">
        <f t="shared" si="377"/>
        <v>0</v>
      </c>
      <c r="V693" s="159">
        <f t="shared" si="377"/>
        <v>0</v>
      </c>
      <c r="W693" s="159">
        <f t="shared" si="377"/>
        <v>0</v>
      </c>
      <c r="X693" s="159">
        <f t="shared" si="377"/>
        <v>0</v>
      </c>
      <c r="Y693" s="159">
        <f t="shared" si="377"/>
        <v>0</v>
      </c>
      <c r="Z693" s="159">
        <f t="shared" si="377"/>
        <v>0</v>
      </c>
      <c r="AA693" s="159">
        <f t="shared" si="377"/>
        <v>0</v>
      </c>
      <c r="AB693" s="159">
        <f t="shared" si="377"/>
        <v>0</v>
      </c>
      <c r="AC693" s="159">
        <f t="shared" si="377"/>
        <v>0</v>
      </c>
      <c r="AD693" s="159">
        <f t="shared" si="377"/>
        <v>0</v>
      </c>
      <c r="AE693" s="159">
        <f t="shared" si="377"/>
        <v>0</v>
      </c>
      <c r="AF693" s="159">
        <f t="shared" si="377"/>
        <v>0</v>
      </c>
      <c r="AG693" s="159">
        <f t="shared" si="377"/>
        <v>0</v>
      </c>
      <c r="AH693" s="159">
        <f t="shared" si="377"/>
        <v>0</v>
      </c>
      <c r="AI693" s="159">
        <f t="shared" si="377"/>
        <v>0</v>
      </c>
      <c r="AJ693" s="159">
        <f t="shared" si="377"/>
        <v>0</v>
      </c>
      <c r="AK693" s="159">
        <f t="shared" si="377"/>
        <v>0</v>
      </c>
      <c r="AL693" s="159">
        <f t="shared" si="377"/>
        <v>0</v>
      </c>
      <c r="AM693" s="159">
        <f t="shared" si="377"/>
        <v>0</v>
      </c>
      <c r="AN693" s="159">
        <f t="shared" si="377"/>
        <v>0</v>
      </c>
      <c r="AO693" s="159">
        <f t="shared" si="377"/>
        <v>0</v>
      </c>
      <c r="AP693" s="159">
        <f t="shared" si="377"/>
        <v>0</v>
      </c>
    </row>
    <row r="694" spans="1:42" x14ac:dyDescent="0.2">
      <c r="A694" s="4">
        <f t="shared" ref="A694:A699" si="378">A693+1</f>
        <v>3</v>
      </c>
      <c r="B694" s="176">
        <f t="shared" si="375"/>
        <v>0</v>
      </c>
      <c r="C694" s="178">
        <f t="shared" ref="C694:AP694" si="379">IF(AND(C$2&gt;equip1_reserve_freq*$A681,C$2&lt;=equip1_reserve_freq*$A682),$B682/(equip1_reserve_freq),0)</f>
        <v>0</v>
      </c>
      <c r="D694" s="159">
        <f t="shared" si="379"/>
        <v>0</v>
      </c>
      <c r="E694" s="159">
        <f t="shared" si="379"/>
        <v>0</v>
      </c>
      <c r="F694" s="159">
        <f t="shared" si="379"/>
        <v>0</v>
      </c>
      <c r="G694" s="159">
        <f t="shared" si="379"/>
        <v>0</v>
      </c>
      <c r="H694" s="159">
        <f t="shared" si="379"/>
        <v>0</v>
      </c>
      <c r="I694" s="159">
        <f t="shared" si="379"/>
        <v>0</v>
      </c>
      <c r="J694" s="159">
        <f t="shared" si="379"/>
        <v>0</v>
      </c>
      <c r="K694" s="159">
        <f t="shared" si="379"/>
        <v>0</v>
      </c>
      <c r="L694" s="159">
        <f t="shared" si="379"/>
        <v>0</v>
      </c>
      <c r="M694" s="159">
        <f t="shared" si="379"/>
        <v>0</v>
      </c>
      <c r="N694" s="159">
        <f t="shared" si="379"/>
        <v>0</v>
      </c>
      <c r="O694" s="159">
        <f t="shared" si="379"/>
        <v>0</v>
      </c>
      <c r="P694" s="159">
        <f t="shared" si="379"/>
        <v>0</v>
      </c>
      <c r="Q694" s="159">
        <f t="shared" si="379"/>
        <v>0</v>
      </c>
      <c r="R694" s="159">
        <f t="shared" si="379"/>
        <v>0</v>
      </c>
      <c r="S694" s="159">
        <f t="shared" si="379"/>
        <v>0</v>
      </c>
      <c r="T694" s="159">
        <f t="shared" si="379"/>
        <v>0</v>
      </c>
      <c r="U694" s="159">
        <f t="shared" si="379"/>
        <v>0</v>
      </c>
      <c r="V694" s="159">
        <f t="shared" si="379"/>
        <v>0</v>
      </c>
      <c r="W694" s="159">
        <f t="shared" si="379"/>
        <v>0</v>
      </c>
      <c r="X694" s="159">
        <f t="shared" si="379"/>
        <v>0</v>
      </c>
      <c r="Y694" s="159">
        <f t="shared" si="379"/>
        <v>0</v>
      </c>
      <c r="Z694" s="159">
        <f t="shared" si="379"/>
        <v>0</v>
      </c>
      <c r="AA694" s="159">
        <f t="shared" si="379"/>
        <v>0</v>
      </c>
      <c r="AB694" s="159">
        <f t="shared" si="379"/>
        <v>0</v>
      </c>
      <c r="AC694" s="159">
        <f t="shared" si="379"/>
        <v>0</v>
      </c>
      <c r="AD694" s="159">
        <f t="shared" si="379"/>
        <v>0</v>
      </c>
      <c r="AE694" s="159">
        <f t="shared" si="379"/>
        <v>0</v>
      </c>
      <c r="AF694" s="159">
        <f t="shared" si="379"/>
        <v>0</v>
      </c>
      <c r="AG694" s="159">
        <f t="shared" si="379"/>
        <v>0</v>
      </c>
      <c r="AH694" s="159">
        <f t="shared" si="379"/>
        <v>0</v>
      </c>
      <c r="AI694" s="159">
        <f t="shared" si="379"/>
        <v>0</v>
      </c>
      <c r="AJ694" s="159">
        <f t="shared" si="379"/>
        <v>0</v>
      </c>
      <c r="AK694" s="159">
        <f t="shared" si="379"/>
        <v>0</v>
      </c>
      <c r="AL694" s="159">
        <f t="shared" si="379"/>
        <v>0</v>
      </c>
      <c r="AM694" s="159">
        <f t="shared" si="379"/>
        <v>0</v>
      </c>
      <c r="AN694" s="159">
        <f t="shared" si="379"/>
        <v>0</v>
      </c>
      <c r="AO694" s="159">
        <f t="shared" si="379"/>
        <v>0</v>
      </c>
      <c r="AP694" s="159">
        <f t="shared" si="379"/>
        <v>0</v>
      </c>
    </row>
    <row r="695" spans="1:42" x14ac:dyDescent="0.2">
      <c r="A695" s="4">
        <f t="shared" si="378"/>
        <v>4</v>
      </c>
      <c r="B695" s="176">
        <f t="shared" si="375"/>
        <v>0</v>
      </c>
      <c r="C695" s="178">
        <f t="shared" ref="C695:AP695" si="380">IF(AND(C$2&gt;equip1_reserve_freq*$A682,C$2&lt;=equip1_reserve_freq*$A683),$B683/(equip1_reserve_freq),0)</f>
        <v>0</v>
      </c>
      <c r="D695" s="159">
        <f t="shared" si="380"/>
        <v>0</v>
      </c>
      <c r="E695" s="159">
        <f t="shared" si="380"/>
        <v>0</v>
      </c>
      <c r="F695" s="159">
        <f t="shared" si="380"/>
        <v>0</v>
      </c>
      <c r="G695" s="159">
        <f t="shared" si="380"/>
        <v>0</v>
      </c>
      <c r="H695" s="159">
        <f t="shared" si="380"/>
        <v>0</v>
      </c>
      <c r="I695" s="159">
        <f t="shared" si="380"/>
        <v>0</v>
      </c>
      <c r="J695" s="159">
        <f t="shared" si="380"/>
        <v>0</v>
      </c>
      <c r="K695" s="159">
        <f t="shared" si="380"/>
        <v>0</v>
      </c>
      <c r="L695" s="159">
        <f t="shared" si="380"/>
        <v>0</v>
      </c>
      <c r="M695" s="159">
        <f t="shared" si="380"/>
        <v>0</v>
      </c>
      <c r="N695" s="159">
        <f t="shared" si="380"/>
        <v>0</v>
      </c>
      <c r="O695" s="159">
        <f t="shared" si="380"/>
        <v>0</v>
      </c>
      <c r="P695" s="159">
        <f t="shared" si="380"/>
        <v>0</v>
      </c>
      <c r="Q695" s="159">
        <f t="shared" si="380"/>
        <v>0</v>
      </c>
      <c r="R695" s="159">
        <f t="shared" si="380"/>
        <v>0</v>
      </c>
      <c r="S695" s="159">
        <f t="shared" si="380"/>
        <v>0</v>
      </c>
      <c r="T695" s="159">
        <f t="shared" si="380"/>
        <v>0</v>
      </c>
      <c r="U695" s="159">
        <f t="shared" si="380"/>
        <v>0</v>
      </c>
      <c r="V695" s="159">
        <f t="shared" si="380"/>
        <v>0</v>
      </c>
      <c r="W695" s="159">
        <f t="shared" si="380"/>
        <v>0</v>
      </c>
      <c r="X695" s="159">
        <f t="shared" si="380"/>
        <v>0</v>
      </c>
      <c r="Y695" s="159">
        <f t="shared" si="380"/>
        <v>0</v>
      </c>
      <c r="Z695" s="159">
        <f t="shared" si="380"/>
        <v>0</v>
      </c>
      <c r="AA695" s="159">
        <f t="shared" si="380"/>
        <v>0</v>
      </c>
      <c r="AB695" s="159">
        <f t="shared" si="380"/>
        <v>0</v>
      </c>
      <c r="AC695" s="159">
        <f t="shared" si="380"/>
        <v>0</v>
      </c>
      <c r="AD695" s="159">
        <f t="shared" si="380"/>
        <v>0</v>
      </c>
      <c r="AE695" s="159">
        <f t="shared" si="380"/>
        <v>0</v>
      </c>
      <c r="AF695" s="159">
        <f t="shared" si="380"/>
        <v>0</v>
      </c>
      <c r="AG695" s="159">
        <f t="shared" si="380"/>
        <v>0</v>
      </c>
      <c r="AH695" s="159">
        <f t="shared" si="380"/>
        <v>0</v>
      </c>
      <c r="AI695" s="159">
        <f t="shared" si="380"/>
        <v>0</v>
      </c>
      <c r="AJ695" s="159">
        <f t="shared" si="380"/>
        <v>0</v>
      </c>
      <c r="AK695" s="159">
        <f t="shared" si="380"/>
        <v>0</v>
      </c>
      <c r="AL695" s="159">
        <f t="shared" si="380"/>
        <v>0</v>
      </c>
      <c r="AM695" s="159">
        <f t="shared" si="380"/>
        <v>0</v>
      </c>
      <c r="AN695" s="159">
        <f t="shared" si="380"/>
        <v>0</v>
      </c>
      <c r="AO695" s="159">
        <f t="shared" si="380"/>
        <v>0</v>
      </c>
      <c r="AP695" s="159">
        <f t="shared" si="380"/>
        <v>0</v>
      </c>
    </row>
    <row r="696" spans="1:42" x14ac:dyDescent="0.2">
      <c r="A696" s="4">
        <f t="shared" si="378"/>
        <v>5</v>
      </c>
      <c r="B696" s="176">
        <f t="shared" si="375"/>
        <v>0</v>
      </c>
      <c r="C696" s="178">
        <f t="shared" ref="C696:AP696" si="381">IF(AND(C$2&gt;equip1_reserve_freq*$A683,C$2&lt;=equip1_reserve_freq*$A684),$B684/(equip1_reserve_freq),0)</f>
        <v>0</v>
      </c>
      <c r="D696" s="159">
        <f t="shared" si="381"/>
        <v>0</v>
      </c>
      <c r="E696" s="159">
        <f t="shared" si="381"/>
        <v>0</v>
      </c>
      <c r="F696" s="159">
        <f t="shared" si="381"/>
        <v>0</v>
      </c>
      <c r="G696" s="159">
        <f t="shared" si="381"/>
        <v>0</v>
      </c>
      <c r="H696" s="159">
        <f t="shared" si="381"/>
        <v>0</v>
      </c>
      <c r="I696" s="159">
        <f t="shared" si="381"/>
        <v>0</v>
      </c>
      <c r="J696" s="159">
        <f t="shared" si="381"/>
        <v>0</v>
      </c>
      <c r="K696" s="159">
        <f t="shared" si="381"/>
        <v>0</v>
      </c>
      <c r="L696" s="159">
        <f t="shared" si="381"/>
        <v>0</v>
      </c>
      <c r="M696" s="159">
        <f t="shared" si="381"/>
        <v>0</v>
      </c>
      <c r="N696" s="159">
        <f t="shared" si="381"/>
        <v>0</v>
      </c>
      <c r="O696" s="159">
        <f t="shared" si="381"/>
        <v>0</v>
      </c>
      <c r="P696" s="159">
        <f t="shared" si="381"/>
        <v>0</v>
      </c>
      <c r="Q696" s="159">
        <f t="shared" si="381"/>
        <v>0</v>
      </c>
      <c r="R696" s="159">
        <f t="shared" si="381"/>
        <v>0</v>
      </c>
      <c r="S696" s="159">
        <f t="shared" si="381"/>
        <v>0</v>
      </c>
      <c r="T696" s="159">
        <f t="shared" si="381"/>
        <v>0</v>
      </c>
      <c r="U696" s="159">
        <f t="shared" si="381"/>
        <v>0</v>
      </c>
      <c r="V696" s="159">
        <f t="shared" si="381"/>
        <v>0</v>
      </c>
      <c r="W696" s="159">
        <f t="shared" si="381"/>
        <v>0</v>
      </c>
      <c r="X696" s="159">
        <f t="shared" si="381"/>
        <v>0</v>
      </c>
      <c r="Y696" s="159">
        <f t="shared" si="381"/>
        <v>0</v>
      </c>
      <c r="Z696" s="159">
        <f t="shared" si="381"/>
        <v>0</v>
      </c>
      <c r="AA696" s="159">
        <f t="shared" si="381"/>
        <v>0</v>
      </c>
      <c r="AB696" s="159">
        <f t="shared" si="381"/>
        <v>0</v>
      </c>
      <c r="AC696" s="159">
        <f t="shared" si="381"/>
        <v>0</v>
      </c>
      <c r="AD696" s="159">
        <f t="shared" si="381"/>
        <v>0</v>
      </c>
      <c r="AE696" s="159">
        <f t="shared" si="381"/>
        <v>0</v>
      </c>
      <c r="AF696" s="159">
        <f t="shared" si="381"/>
        <v>0</v>
      </c>
      <c r="AG696" s="159">
        <f t="shared" si="381"/>
        <v>0</v>
      </c>
      <c r="AH696" s="159">
        <f t="shared" si="381"/>
        <v>0</v>
      </c>
      <c r="AI696" s="159">
        <f t="shared" si="381"/>
        <v>0</v>
      </c>
      <c r="AJ696" s="159">
        <f t="shared" si="381"/>
        <v>0</v>
      </c>
      <c r="AK696" s="159">
        <f t="shared" si="381"/>
        <v>0</v>
      </c>
      <c r="AL696" s="159">
        <f t="shared" si="381"/>
        <v>0</v>
      </c>
      <c r="AM696" s="159">
        <f t="shared" si="381"/>
        <v>0</v>
      </c>
      <c r="AN696" s="159">
        <f t="shared" si="381"/>
        <v>0</v>
      </c>
      <c r="AO696" s="159">
        <f t="shared" si="381"/>
        <v>0</v>
      </c>
      <c r="AP696" s="159">
        <f t="shared" si="381"/>
        <v>0</v>
      </c>
    </row>
    <row r="697" spans="1:42" x14ac:dyDescent="0.2">
      <c r="A697" s="4">
        <f t="shared" si="378"/>
        <v>6</v>
      </c>
      <c r="B697" s="176">
        <f t="shared" si="375"/>
        <v>0</v>
      </c>
      <c r="C697" s="178">
        <f t="shared" ref="C697:AP697" si="382">IF(AND(C$2&gt;equip1_reserve_freq*$A684,C$2&lt;=equip1_reserve_freq*$A685),$B685/(equip1_reserve_freq),0)</f>
        <v>0</v>
      </c>
      <c r="D697" s="159">
        <f t="shared" si="382"/>
        <v>0</v>
      </c>
      <c r="E697" s="159">
        <f t="shared" si="382"/>
        <v>0</v>
      </c>
      <c r="F697" s="159">
        <f t="shared" si="382"/>
        <v>0</v>
      </c>
      <c r="G697" s="159">
        <f t="shared" si="382"/>
        <v>0</v>
      </c>
      <c r="H697" s="159">
        <f t="shared" si="382"/>
        <v>0</v>
      </c>
      <c r="I697" s="159">
        <f t="shared" si="382"/>
        <v>0</v>
      </c>
      <c r="J697" s="159">
        <f t="shared" si="382"/>
        <v>0</v>
      </c>
      <c r="K697" s="159">
        <f t="shared" si="382"/>
        <v>0</v>
      </c>
      <c r="L697" s="159">
        <f t="shared" si="382"/>
        <v>0</v>
      </c>
      <c r="M697" s="159">
        <f t="shared" si="382"/>
        <v>0</v>
      </c>
      <c r="N697" s="159">
        <f t="shared" si="382"/>
        <v>0</v>
      </c>
      <c r="O697" s="159">
        <f t="shared" si="382"/>
        <v>0</v>
      </c>
      <c r="P697" s="159">
        <f t="shared" si="382"/>
        <v>0</v>
      </c>
      <c r="Q697" s="159">
        <f t="shared" si="382"/>
        <v>0</v>
      </c>
      <c r="R697" s="159">
        <f t="shared" si="382"/>
        <v>0</v>
      </c>
      <c r="S697" s="159">
        <f t="shared" si="382"/>
        <v>0</v>
      </c>
      <c r="T697" s="159">
        <f t="shared" si="382"/>
        <v>0</v>
      </c>
      <c r="U697" s="159">
        <f t="shared" si="382"/>
        <v>0</v>
      </c>
      <c r="V697" s="159">
        <f t="shared" si="382"/>
        <v>0</v>
      </c>
      <c r="W697" s="159">
        <f t="shared" si="382"/>
        <v>0</v>
      </c>
      <c r="X697" s="159">
        <f t="shared" si="382"/>
        <v>0</v>
      </c>
      <c r="Y697" s="159">
        <f t="shared" si="382"/>
        <v>0</v>
      </c>
      <c r="Z697" s="159">
        <f t="shared" si="382"/>
        <v>0</v>
      </c>
      <c r="AA697" s="159">
        <f t="shared" si="382"/>
        <v>0</v>
      </c>
      <c r="AB697" s="159">
        <f t="shared" si="382"/>
        <v>0</v>
      </c>
      <c r="AC697" s="159">
        <f t="shared" si="382"/>
        <v>0</v>
      </c>
      <c r="AD697" s="159">
        <f t="shared" si="382"/>
        <v>0</v>
      </c>
      <c r="AE697" s="159">
        <f t="shared" si="382"/>
        <v>0</v>
      </c>
      <c r="AF697" s="159">
        <f t="shared" si="382"/>
        <v>0</v>
      </c>
      <c r="AG697" s="159">
        <f t="shared" si="382"/>
        <v>0</v>
      </c>
      <c r="AH697" s="159">
        <f t="shared" si="382"/>
        <v>0</v>
      </c>
      <c r="AI697" s="159">
        <f t="shared" si="382"/>
        <v>0</v>
      </c>
      <c r="AJ697" s="159">
        <f t="shared" si="382"/>
        <v>0</v>
      </c>
      <c r="AK697" s="159">
        <f t="shared" si="382"/>
        <v>0</v>
      </c>
      <c r="AL697" s="159">
        <f t="shared" si="382"/>
        <v>0</v>
      </c>
      <c r="AM697" s="159">
        <f t="shared" si="382"/>
        <v>0</v>
      </c>
      <c r="AN697" s="159">
        <f t="shared" si="382"/>
        <v>0</v>
      </c>
      <c r="AO697" s="159">
        <f t="shared" si="382"/>
        <v>0</v>
      </c>
      <c r="AP697" s="159">
        <f t="shared" si="382"/>
        <v>0</v>
      </c>
    </row>
    <row r="698" spans="1:42" x14ac:dyDescent="0.2">
      <c r="A698" s="4">
        <f t="shared" si="378"/>
        <v>7</v>
      </c>
      <c r="B698" s="176">
        <f t="shared" si="375"/>
        <v>0</v>
      </c>
      <c r="C698" s="178">
        <f t="shared" ref="C698:AP698" si="383">IF(AND(C$2&gt;equip1_reserve_freq*$A685,C$2&lt;=equip1_reserve_freq*$A686),$B686/(equip1_reserve_freq),0)</f>
        <v>0</v>
      </c>
      <c r="D698" s="159">
        <f t="shared" si="383"/>
        <v>0</v>
      </c>
      <c r="E698" s="159">
        <f t="shared" si="383"/>
        <v>0</v>
      </c>
      <c r="F698" s="159">
        <f t="shared" si="383"/>
        <v>0</v>
      </c>
      <c r="G698" s="159">
        <f t="shared" si="383"/>
        <v>0</v>
      </c>
      <c r="H698" s="159">
        <f t="shared" si="383"/>
        <v>0</v>
      </c>
      <c r="I698" s="159">
        <f t="shared" si="383"/>
        <v>0</v>
      </c>
      <c r="J698" s="159">
        <f t="shared" si="383"/>
        <v>0</v>
      </c>
      <c r="K698" s="159">
        <f t="shared" si="383"/>
        <v>0</v>
      </c>
      <c r="L698" s="159">
        <f t="shared" si="383"/>
        <v>0</v>
      </c>
      <c r="M698" s="159">
        <f t="shared" si="383"/>
        <v>0</v>
      </c>
      <c r="N698" s="159">
        <f t="shared" si="383"/>
        <v>0</v>
      </c>
      <c r="O698" s="159">
        <f t="shared" si="383"/>
        <v>0</v>
      </c>
      <c r="P698" s="159">
        <f t="shared" si="383"/>
        <v>0</v>
      </c>
      <c r="Q698" s="159">
        <f t="shared" si="383"/>
        <v>0</v>
      </c>
      <c r="R698" s="159">
        <f t="shared" si="383"/>
        <v>0</v>
      </c>
      <c r="S698" s="159">
        <f t="shared" si="383"/>
        <v>0</v>
      </c>
      <c r="T698" s="159">
        <f t="shared" si="383"/>
        <v>0</v>
      </c>
      <c r="U698" s="159">
        <f t="shared" si="383"/>
        <v>0</v>
      </c>
      <c r="V698" s="159">
        <f t="shared" si="383"/>
        <v>0</v>
      </c>
      <c r="W698" s="159">
        <f t="shared" si="383"/>
        <v>0</v>
      </c>
      <c r="X698" s="159">
        <f t="shared" si="383"/>
        <v>0</v>
      </c>
      <c r="Y698" s="159">
        <f t="shared" si="383"/>
        <v>0</v>
      </c>
      <c r="Z698" s="159">
        <f t="shared" si="383"/>
        <v>0</v>
      </c>
      <c r="AA698" s="159">
        <f t="shared" si="383"/>
        <v>0</v>
      </c>
      <c r="AB698" s="159">
        <f t="shared" si="383"/>
        <v>0</v>
      </c>
      <c r="AC698" s="159">
        <f t="shared" si="383"/>
        <v>0</v>
      </c>
      <c r="AD698" s="159">
        <f t="shared" si="383"/>
        <v>0</v>
      </c>
      <c r="AE698" s="159">
        <f t="shared" si="383"/>
        <v>0</v>
      </c>
      <c r="AF698" s="159">
        <f t="shared" si="383"/>
        <v>0</v>
      </c>
      <c r="AG698" s="159">
        <f t="shared" si="383"/>
        <v>0</v>
      </c>
      <c r="AH698" s="159">
        <f t="shared" si="383"/>
        <v>0</v>
      </c>
      <c r="AI698" s="159">
        <f t="shared" si="383"/>
        <v>0</v>
      </c>
      <c r="AJ698" s="159">
        <f t="shared" si="383"/>
        <v>0</v>
      </c>
      <c r="AK698" s="159">
        <f t="shared" si="383"/>
        <v>0</v>
      </c>
      <c r="AL698" s="159">
        <f t="shared" si="383"/>
        <v>0</v>
      </c>
      <c r="AM698" s="159">
        <f t="shared" si="383"/>
        <v>0</v>
      </c>
      <c r="AN698" s="159">
        <f t="shared" si="383"/>
        <v>0</v>
      </c>
      <c r="AO698" s="159">
        <f t="shared" si="383"/>
        <v>0</v>
      </c>
      <c r="AP698" s="159">
        <f t="shared" si="383"/>
        <v>0</v>
      </c>
    </row>
    <row r="699" spans="1:42" x14ac:dyDescent="0.2">
      <c r="A699" s="4">
        <f t="shared" si="378"/>
        <v>8</v>
      </c>
      <c r="B699" s="176">
        <f t="shared" si="375"/>
        <v>0</v>
      </c>
      <c r="C699" s="178">
        <f t="shared" ref="C699:AP699" si="384">IF(AND(C$2&gt;equip1_reserve_freq*$A686,C$2&lt;=equip1_reserve_freq*$A687),$B687/(equip1_reserve_freq),0)</f>
        <v>0</v>
      </c>
      <c r="D699" s="159">
        <f t="shared" si="384"/>
        <v>0</v>
      </c>
      <c r="E699" s="159">
        <f t="shared" si="384"/>
        <v>0</v>
      </c>
      <c r="F699" s="159">
        <f t="shared" si="384"/>
        <v>0</v>
      </c>
      <c r="G699" s="159">
        <f t="shared" si="384"/>
        <v>0</v>
      </c>
      <c r="H699" s="159">
        <f t="shared" si="384"/>
        <v>0</v>
      </c>
      <c r="I699" s="159">
        <f t="shared" si="384"/>
        <v>0</v>
      </c>
      <c r="J699" s="159">
        <f t="shared" si="384"/>
        <v>0</v>
      </c>
      <c r="K699" s="159">
        <f t="shared" si="384"/>
        <v>0</v>
      </c>
      <c r="L699" s="159">
        <f t="shared" si="384"/>
        <v>0</v>
      </c>
      <c r="M699" s="159">
        <f t="shared" si="384"/>
        <v>0</v>
      </c>
      <c r="N699" s="159">
        <f t="shared" si="384"/>
        <v>0</v>
      </c>
      <c r="O699" s="159">
        <f t="shared" si="384"/>
        <v>0</v>
      </c>
      <c r="P699" s="159">
        <f t="shared" si="384"/>
        <v>0</v>
      </c>
      <c r="Q699" s="159">
        <f t="shared" si="384"/>
        <v>0</v>
      </c>
      <c r="R699" s="159">
        <f t="shared" si="384"/>
        <v>0</v>
      </c>
      <c r="S699" s="159">
        <f t="shared" si="384"/>
        <v>0</v>
      </c>
      <c r="T699" s="159">
        <f t="shared" si="384"/>
        <v>0</v>
      </c>
      <c r="U699" s="159">
        <f t="shared" si="384"/>
        <v>0</v>
      </c>
      <c r="V699" s="159">
        <f t="shared" si="384"/>
        <v>0</v>
      </c>
      <c r="W699" s="159">
        <f t="shared" si="384"/>
        <v>0</v>
      </c>
      <c r="X699" s="159">
        <f t="shared" si="384"/>
        <v>0</v>
      </c>
      <c r="Y699" s="159">
        <f t="shared" si="384"/>
        <v>0</v>
      </c>
      <c r="Z699" s="159">
        <f t="shared" si="384"/>
        <v>0</v>
      </c>
      <c r="AA699" s="159">
        <f t="shared" si="384"/>
        <v>0</v>
      </c>
      <c r="AB699" s="159">
        <f t="shared" si="384"/>
        <v>0</v>
      </c>
      <c r="AC699" s="159">
        <f t="shared" si="384"/>
        <v>0</v>
      </c>
      <c r="AD699" s="159">
        <f t="shared" si="384"/>
        <v>0</v>
      </c>
      <c r="AE699" s="159">
        <f t="shared" si="384"/>
        <v>0</v>
      </c>
      <c r="AF699" s="159">
        <f t="shared" si="384"/>
        <v>0</v>
      </c>
      <c r="AG699" s="159">
        <f t="shared" si="384"/>
        <v>0</v>
      </c>
      <c r="AH699" s="159">
        <f t="shared" si="384"/>
        <v>0</v>
      </c>
      <c r="AI699" s="159">
        <f t="shared" si="384"/>
        <v>0</v>
      </c>
      <c r="AJ699" s="159">
        <f t="shared" si="384"/>
        <v>0</v>
      </c>
      <c r="AK699" s="159">
        <f t="shared" si="384"/>
        <v>0</v>
      </c>
      <c r="AL699" s="159">
        <f t="shared" si="384"/>
        <v>0</v>
      </c>
      <c r="AM699" s="159">
        <f t="shared" si="384"/>
        <v>0</v>
      </c>
      <c r="AN699" s="159">
        <f t="shared" si="384"/>
        <v>0</v>
      </c>
      <c r="AO699" s="159">
        <f t="shared" si="384"/>
        <v>0</v>
      </c>
      <c r="AP699" s="159">
        <f t="shared" si="384"/>
        <v>0</v>
      </c>
    </row>
    <row r="700" spans="1:42" x14ac:dyDescent="0.2">
      <c r="A700" s="4">
        <f>A699+1</f>
        <v>9</v>
      </c>
      <c r="B700" s="176">
        <f t="shared" si="375"/>
        <v>0</v>
      </c>
      <c r="C700" s="178">
        <f t="shared" ref="C700:AP700" si="385">IF(AND(C$2&gt;equip1_reserve_freq*$A687,C$2&lt;=equip1_reserve_freq*$A688),$B688/(equip1_reserve_freq),0)</f>
        <v>0</v>
      </c>
      <c r="D700" s="159">
        <f t="shared" si="385"/>
        <v>0</v>
      </c>
      <c r="E700" s="159">
        <f t="shared" si="385"/>
        <v>0</v>
      </c>
      <c r="F700" s="159">
        <f t="shared" si="385"/>
        <v>0</v>
      </c>
      <c r="G700" s="159">
        <f t="shared" si="385"/>
        <v>0</v>
      </c>
      <c r="H700" s="159">
        <f t="shared" si="385"/>
        <v>0</v>
      </c>
      <c r="I700" s="159">
        <f t="shared" si="385"/>
        <v>0</v>
      </c>
      <c r="J700" s="159">
        <f t="shared" si="385"/>
        <v>0</v>
      </c>
      <c r="K700" s="159">
        <f t="shared" si="385"/>
        <v>0</v>
      </c>
      <c r="L700" s="159">
        <f t="shared" si="385"/>
        <v>0</v>
      </c>
      <c r="M700" s="159">
        <f t="shared" si="385"/>
        <v>0</v>
      </c>
      <c r="N700" s="159">
        <f t="shared" si="385"/>
        <v>0</v>
      </c>
      <c r="O700" s="159">
        <f t="shared" si="385"/>
        <v>0</v>
      </c>
      <c r="P700" s="159">
        <f t="shared" si="385"/>
        <v>0</v>
      </c>
      <c r="Q700" s="159">
        <f t="shared" si="385"/>
        <v>0</v>
      </c>
      <c r="R700" s="159">
        <f t="shared" si="385"/>
        <v>0</v>
      </c>
      <c r="S700" s="159">
        <f t="shared" si="385"/>
        <v>0</v>
      </c>
      <c r="T700" s="159">
        <f t="shared" si="385"/>
        <v>0</v>
      </c>
      <c r="U700" s="159">
        <f t="shared" si="385"/>
        <v>0</v>
      </c>
      <c r="V700" s="159">
        <f t="shared" si="385"/>
        <v>0</v>
      </c>
      <c r="W700" s="159">
        <f t="shared" si="385"/>
        <v>0</v>
      </c>
      <c r="X700" s="159">
        <f t="shared" si="385"/>
        <v>0</v>
      </c>
      <c r="Y700" s="159">
        <f t="shared" si="385"/>
        <v>0</v>
      </c>
      <c r="Z700" s="159">
        <f t="shared" si="385"/>
        <v>0</v>
      </c>
      <c r="AA700" s="159">
        <f t="shared" si="385"/>
        <v>0</v>
      </c>
      <c r="AB700" s="159">
        <f t="shared" si="385"/>
        <v>0</v>
      </c>
      <c r="AC700" s="159">
        <f t="shared" si="385"/>
        <v>0</v>
      </c>
      <c r="AD700" s="159">
        <f t="shared" si="385"/>
        <v>0</v>
      </c>
      <c r="AE700" s="159">
        <f t="shared" si="385"/>
        <v>0</v>
      </c>
      <c r="AF700" s="159">
        <f t="shared" si="385"/>
        <v>0</v>
      </c>
      <c r="AG700" s="159">
        <f t="shared" si="385"/>
        <v>0</v>
      </c>
      <c r="AH700" s="159">
        <f t="shared" si="385"/>
        <v>0</v>
      </c>
      <c r="AI700" s="159">
        <f t="shared" si="385"/>
        <v>0</v>
      </c>
      <c r="AJ700" s="159">
        <f t="shared" si="385"/>
        <v>0</v>
      </c>
      <c r="AK700" s="159">
        <f t="shared" si="385"/>
        <v>0</v>
      </c>
      <c r="AL700" s="159">
        <f t="shared" si="385"/>
        <v>0</v>
      </c>
      <c r="AM700" s="159">
        <f t="shared" si="385"/>
        <v>0</v>
      </c>
      <c r="AN700" s="159">
        <f t="shared" si="385"/>
        <v>0</v>
      </c>
      <c r="AO700" s="159">
        <f t="shared" si="385"/>
        <v>0</v>
      </c>
      <c r="AP700" s="159">
        <f t="shared" si="385"/>
        <v>0</v>
      </c>
    </row>
    <row r="701" spans="1:42" x14ac:dyDescent="0.2">
      <c r="A701" s="4">
        <f t="shared" ref="A701" si="386">A700+1</f>
        <v>10</v>
      </c>
      <c r="B701" s="176">
        <f t="shared" si="375"/>
        <v>0</v>
      </c>
      <c r="C701" s="177">
        <f t="shared" ref="C701:AP701" si="387">IF(AND(C$2&gt;equip1_reserve_freq*$A688,C$2&lt;=equip1_reserve_freq*$A689),$B689/(equip1_reserve_freq),0)</f>
        <v>0</v>
      </c>
      <c r="D701" s="160">
        <f t="shared" si="387"/>
        <v>0</v>
      </c>
      <c r="E701" s="160">
        <f t="shared" si="387"/>
        <v>0</v>
      </c>
      <c r="F701" s="160">
        <f t="shared" si="387"/>
        <v>0</v>
      </c>
      <c r="G701" s="160">
        <f t="shared" si="387"/>
        <v>0</v>
      </c>
      <c r="H701" s="160">
        <f t="shared" si="387"/>
        <v>0</v>
      </c>
      <c r="I701" s="160">
        <f t="shared" si="387"/>
        <v>0</v>
      </c>
      <c r="J701" s="160">
        <f t="shared" si="387"/>
        <v>0</v>
      </c>
      <c r="K701" s="160">
        <f t="shared" si="387"/>
        <v>0</v>
      </c>
      <c r="L701" s="160">
        <f t="shared" si="387"/>
        <v>0</v>
      </c>
      <c r="M701" s="160">
        <f t="shared" si="387"/>
        <v>0</v>
      </c>
      <c r="N701" s="160">
        <f t="shared" si="387"/>
        <v>0</v>
      </c>
      <c r="O701" s="160">
        <f t="shared" si="387"/>
        <v>0</v>
      </c>
      <c r="P701" s="160">
        <f t="shared" si="387"/>
        <v>0</v>
      </c>
      <c r="Q701" s="160">
        <f t="shared" si="387"/>
        <v>0</v>
      </c>
      <c r="R701" s="160">
        <f t="shared" si="387"/>
        <v>0</v>
      </c>
      <c r="S701" s="160">
        <f t="shared" si="387"/>
        <v>0</v>
      </c>
      <c r="T701" s="160">
        <f t="shared" si="387"/>
        <v>0</v>
      </c>
      <c r="U701" s="160">
        <f t="shared" si="387"/>
        <v>0</v>
      </c>
      <c r="V701" s="160">
        <f t="shared" si="387"/>
        <v>0</v>
      </c>
      <c r="W701" s="160">
        <f t="shared" si="387"/>
        <v>0</v>
      </c>
      <c r="X701" s="160">
        <f t="shared" si="387"/>
        <v>0</v>
      </c>
      <c r="Y701" s="160">
        <f t="shared" si="387"/>
        <v>0</v>
      </c>
      <c r="Z701" s="160">
        <f t="shared" si="387"/>
        <v>0</v>
      </c>
      <c r="AA701" s="160">
        <f t="shared" si="387"/>
        <v>0</v>
      </c>
      <c r="AB701" s="160">
        <f t="shared" si="387"/>
        <v>0</v>
      </c>
      <c r="AC701" s="160">
        <f t="shared" si="387"/>
        <v>0</v>
      </c>
      <c r="AD701" s="160">
        <f t="shared" si="387"/>
        <v>0</v>
      </c>
      <c r="AE701" s="160">
        <f t="shared" si="387"/>
        <v>0</v>
      </c>
      <c r="AF701" s="160">
        <f t="shared" si="387"/>
        <v>0</v>
      </c>
      <c r="AG701" s="160">
        <f t="shared" si="387"/>
        <v>0</v>
      </c>
      <c r="AH701" s="160">
        <f t="shared" si="387"/>
        <v>0</v>
      </c>
      <c r="AI701" s="160">
        <f t="shared" si="387"/>
        <v>0</v>
      </c>
      <c r="AJ701" s="160">
        <f t="shared" si="387"/>
        <v>0</v>
      </c>
      <c r="AK701" s="160">
        <f t="shared" si="387"/>
        <v>0</v>
      </c>
      <c r="AL701" s="160">
        <f t="shared" si="387"/>
        <v>0</v>
      </c>
      <c r="AM701" s="160">
        <f t="shared" si="387"/>
        <v>0</v>
      </c>
      <c r="AN701" s="160">
        <f t="shared" si="387"/>
        <v>0</v>
      </c>
      <c r="AO701" s="160">
        <f t="shared" si="387"/>
        <v>0</v>
      </c>
      <c r="AP701" s="160">
        <f t="shared" si="387"/>
        <v>0</v>
      </c>
    </row>
    <row r="702" spans="1:42" x14ac:dyDescent="0.2">
      <c r="A702" s="27" t="s">
        <v>13</v>
      </c>
      <c r="B702" s="15"/>
      <c r="C702" s="15">
        <f>SUM(C692:C701)</f>
        <v>941982.54731584399</v>
      </c>
      <c r="D702" s="15">
        <f t="shared" ref="D702:AP702" si="388">SUM(D692:D701)</f>
        <v>941982.54731584399</v>
      </c>
      <c r="E702" s="15">
        <f t="shared" si="388"/>
        <v>941982.54731584399</v>
      </c>
      <c r="F702" s="15">
        <f t="shared" si="388"/>
        <v>941982.54731584399</v>
      </c>
      <c r="G702" s="15">
        <f t="shared" si="388"/>
        <v>941982.54731584399</v>
      </c>
      <c r="H702" s="15">
        <f t="shared" si="388"/>
        <v>941982.54731584399</v>
      </c>
      <c r="I702" s="15">
        <f t="shared" si="388"/>
        <v>941982.54731584399</v>
      </c>
      <c r="J702" s="15">
        <f t="shared" si="388"/>
        <v>941982.54731584399</v>
      </c>
      <c r="K702" s="15">
        <f t="shared" si="388"/>
        <v>941982.54731584399</v>
      </c>
      <c r="L702" s="15">
        <f t="shared" si="388"/>
        <v>941982.54731584399</v>
      </c>
      <c r="M702" s="15">
        <f t="shared" si="388"/>
        <v>941982.54731584399</v>
      </c>
      <c r="N702" s="15">
        <f t="shared" si="388"/>
        <v>941982.54731584399</v>
      </c>
      <c r="O702" s="15">
        <f t="shared" si="388"/>
        <v>941982.54731584399</v>
      </c>
      <c r="P702" s="15">
        <f t="shared" si="388"/>
        <v>941982.54731584399</v>
      </c>
      <c r="Q702" s="15">
        <f t="shared" si="388"/>
        <v>941982.54731584399</v>
      </c>
      <c r="R702" s="15">
        <f t="shared" si="388"/>
        <v>0</v>
      </c>
      <c r="S702" s="15">
        <f t="shared" si="388"/>
        <v>0</v>
      </c>
      <c r="T702" s="15">
        <f t="shared" si="388"/>
        <v>0</v>
      </c>
      <c r="U702" s="15">
        <f t="shared" si="388"/>
        <v>0</v>
      </c>
      <c r="V702" s="15">
        <f t="shared" si="388"/>
        <v>0</v>
      </c>
      <c r="W702" s="15">
        <f t="shared" si="388"/>
        <v>0</v>
      </c>
      <c r="X702" s="15">
        <f t="shared" si="388"/>
        <v>0</v>
      </c>
      <c r="Y702" s="15">
        <f t="shared" si="388"/>
        <v>0</v>
      </c>
      <c r="Z702" s="15">
        <f t="shared" si="388"/>
        <v>0</v>
      </c>
      <c r="AA702" s="15">
        <f t="shared" si="388"/>
        <v>0</v>
      </c>
      <c r="AB702" s="15">
        <f t="shared" si="388"/>
        <v>0</v>
      </c>
      <c r="AC702" s="15">
        <f t="shared" si="388"/>
        <v>0</v>
      </c>
      <c r="AD702" s="15">
        <f t="shared" si="388"/>
        <v>0</v>
      </c>
      <c r="AE702" s="15">
        <f t="shared" si="388"/>
        <v>0</v>
      </c>
      <c r="AF702" s="15">
        <f t="shared" si="388"/>
        <v>0</v>
      </c>
      <c r="AG702" s="15">
        <f t="shared" si="388"/>
        <v>0</v>
      </c>
      <c r="AH702" s="15">
        <f t="shared" si="388"/>
        <v>0</v>
      </c>
      <c r="AI702" s="15">
        <f t="shared" si="388"/>
        <v>0</v>
      </c>
      <c r="AJ702" s="15">
        <f t="shared" si="388"/>
        <v>0</v>
      </c>
      <c r="AK702" s="15">
        <f t="shared" si="388"/>
        <v>0</v>
      </c>
      <c r="AL702" s="15">
        <f t="shared" si="388"/>
        <v>0</v>
      </c>
      <c r="AM702" s="15">
        <f t="shared" si="388"/>
        <v>0</v>
      </c>
      <c r="AN702" s="15">
        <f t="shared" si="388"/>
        <v>0</v>
      </c>
      <c r="AO702" s="15">
        <f t="shared" si="388"/>
        <v>0</v>
      </c>
      <c r="AP702" s="15">
        <f t="shared" si="388"/>
        <v>0</v>
      </c>
    </row>
    <row r="703" spans="1:42" x14ac:dyDescent="0.2">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row>
    <row r="704" spans="1:42" x14ac:dyDescent="0.2">
      <c r="A704" s="20" t="s">
        <v>230</v>
      </c>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row>
    <row r="705" spans="1:42" x14ac:dyDescent="0.2">
      <c r="A705" s="4" t="s">
        <v>224</v>
      </c>
      <c r="B705" s="159">
        <v>0</v>
      </c>
      <c r="C705" s="159">
        <f>B708</f>
        <v>0</v>
      </c>
      <c r="D705" s="159">
        <f t="shared" ref="D705:AP705" si="389">C708</f>
        <v>0</v>
      </c>
      <c r="E705" s="159">
        <f t="shared" si="389"/>
        <v>0</v>
      </c>
      <c r="F705" s="159">
        <f t="shared" si="389"/>
        <v>0</v>
      </c>
      <c r="G705" s="159">
        <f t="shared" si="389"/>
        <v>0</v>
      </c>
      <c r="H705" s="159">
        <f t="shared" si="389"/>
        <v>0</v>
      </c>
      <c r="I705" s="159">
        <f t="shared" si="389"/>
        <v>0</v>
      </c>
      <c r="J705" s="159">
        <f t="shared" si="389"/>
        <v>0</v>
      </c>
      <c r="K705" s="159">
        <f t="shared" si="389"/>
        <v>0</v>
      </c>
      <c r="L705" s="159">
        <f t="shared" si="389"/>
        <v>0</v>
      </c>
      <c r="M705" s="159">
        <f t="shared" si="389"/>
        <v>0</v>
      </c>
      <c r="N705" s="159">
        <f t="shared" si="389"/>
        <v>0</v>
      </c>
      <c r="O705" s="159">
        <f t="shared" si="389"/>
        <v>0</v>
      </c>
      <c r="P705" s="159">
        <f t="shared" si="389"/>
        <v>0</v>
      </c>
      <c r="Q705" s="159">
        <f t="shared" si="389"/>
        <v>0</v>
      </c>
      <c r="R705" s="159">
        <f t="shared" si="389"/>
        <v>0</v>
      </c>
      <c r="S705" s="159">
        <f t="shared" si="389"/>
        <v>0</v>
      </c>
      <c r="T705" s="159">
        <f t="shared" si="389"/>
        <v>0</v>
      </c>
      <c r="U705" s="159">
        <f t="shared" si="389"/>
        <v>0</v>
      </c>
      <c r="V705" s="159">
        <f t="shared" si="389"/>
        <v>0</v>
      </c>
      <c r="W705" s="159">
        <f t="shared" si="389"/>
        <v>0</v>
      </c>
      <c r="X705" s="159">
        <f t="shared" si="389"/>
        <v>0</v>
      </c>
      <c r="Y705" s="159">
        <f t="shared" si="389"/>
        <v>0</v>
      </c>
      <c r="Z705" s="159">
        <f t="shared" si="389"/>
        <v>0</v>
      </c>
      <c r="AA705" s="159">
        <f t="shared" si="389"/>
        <v>0</v>
      </c>
      <c r="AB705" s="159">
        <f t="shared" si="389"/>
        <v>0</v>
      </c>
      <c r="AC705" s="159">
        <f t="shared" si="389"/>
        <v>0</v>
      </c>
      <c r="AD705" s="159">
        <f t="shared" si="389"/>
        <v>0</v>
      </c>
      <c r="AE705" s="159">
        <f t="shared" si="389"/>
        <v>0</v>
      </c>
      <c r="AF705" s="159">
        <f t="shared" si="389"/>
        <v>0</v>
      </c>
      <c r="AG705" s="159">
        <f t="shared" si="389"/>
        <v>0</v>
      </c>
      <c r="AH705" s="159">
        <f t="shared" si="389"/>
        <v>0</v>
      </c>
      <c r="AI705" s="159">
        <f t="shared" si="389"/>
        <v>0</v>
      </c>
      <c r="AJ705" s="159">
        <f t="shared" si="389"/>
        <v>0</v>
      </c>
      <c r="AK705" s="159">
        <f t="shared" si="389"/>
        <v>0</v>
      </c>
      <c r="AL705" s="159">
        <f t="shared" si="389"/>
        <v>0</v>
      </c>
      <c r="AM705" s="159">
        <f t="shared" si="389"/>
        <v>0</v>
      </c>
      <c r="AN705" s="159">
        <f t="shared" si="389"/>
        <v>0</v>
      </c>
      <c r="AO705" s="159">
        <f t="shared" si="389"/>
        <v>0</v>
      </c>
      <c r="AP705" s="159">
        <f t="shared" si="389"/>
        <v>0</v>
      </c>
    </row>
    <row r="706" spans="1:42" x14ac:dyDescent="0.2">
      <c r="A706" s="4" t="s">
        <v>60</v>
      </c>
      <c r="B706" s="159">
        <v>0</v>
      </c>
      <c r="C706" s="159">
        <f>C734</f>
        <v>0</v>
      </c>
      <c r="D706" s="159">
        <f t="shared" ref="D706:AP706" si="390">D734</f>
        <v>0</v>
      </c>
      <c r="E706" s="159">
        <f t="shared" si="390"/>
        <v>0</v>
      </c>
      <c r="F706" s="159">
        <f t="shared" si="390"/>
        <v>0</v>
      </c>
      <c r="G706" s="159">
        <f t="shared" si="390"/>
        <v>0</v>
      </c>
      <c r="H706" s="159">
        <f t="shared" si="390"/>
        <v>0</v>
      </c>
      <c r="I706" s="159">
        <f t="shared" si="390"/>
        <v>0</v>
      </c>
      <c r="J706" s="159">
        <f t="shared" si="390"/>
        <v>0</v>
      </c>
      <c r="K706" s="159">
        <f t="shared" si="390"/>
        <v>0</v>
      </c>
      <c r="L706" s="159">
        <f t="shared" si="390"/>
        <v>0</v>
      </c>
      <c r="M706" s="159">
        <f t="shared" si="390"/>
        <v>0</v>
      </c>
      <c r="N706" s="159">
        <f t="shared" si="390"/>
        <v>0</v>
      </c>
      <c r="O706" s="159">
        <f t="shared" si="390"/>
        <v>0</v>
      </c>
      <c r="P706" s="159">
        <f t="shared" si="390"/>
        <v>0</v>
      </c>
      <c r="Q706" s="159">
        <f t="shared" si="390"/>
        <v>0</v>
      </c>
      <c r="R706" s="159">
        <f t="shared" si="390"/>
        <v>0</v>
      </c>
      <c r="S706" s="159">
        <f t="shared" si="390"/>
        <v>0</v>
      </c>
      <c r="T706" s="159">
        <f t="shared" si="390"/>
        <v>0</v>
      </c>
      <c r="U706" s="159">
        <f t="shared" si="390"/>
        <v>0</v>
      </c>
      <c r="V706" s="159">
        <f t="shared" si="390"/>
        <v>0</v>
      </c>
      <c r="W706" s="159">
        <f t="shared" si="390"/>
        <v>0</v>
      </c>
      <c r="X706" s="159">
        <f t="shared" si="390"/>
        <v>0</v>
      </c>
      <c r="Y706" s="159">
        <f t="shared" si="390"/>
        <v>0</v>
      </c>
      <c r="Z706" s="159">
        <f t="shared" si="390"/>
        <v>0</v>
      </c>
      <c r="AA706" s="159">
        <f t="shared" si="390"/>
        <v>0</v>
      </c>
      <c r="AB706" s="159">
        <f t="shared" si="390"/>
        <v>0</v>
      </c>
      <c r="AC706" s="159">
        <f t="shared" si="390"/>
        <v>0</v>
      </c>
      <c r="AD706" s="159">
        <f t="shared" si="390"/>
        <v>0</v>
      </c>
      <c r="AE706" s="159">
        <f t="shared" si="390"/>
        <v>0</v>
      </c>
      <c r="AF706" s="159">
        <f t="shared" si="390"/>
        <v>0</v>
      </c>
      <c r="AG706" s="159">
        <f t="shared" si="390"/>
        <v>0</v>
      </c>
      <c r="AH706" s="159">
        <f t="shared" si="390"/>
        <v>0</v>
      </c>
      <c r="AI706" s="159">
        <f t="shared" si="390"/>
        <v>0</v>
      </c>
      <c r="AJ706" s="159">
        <f t="shared" si="390"/>
        <v>0</v>
      </c>
      <c r="AK706" s="159">
        <f t="shared" si="390"/>
        <v>0</v>
      </c>
      <c r="AL706" s="159">
        <f t="shared" si="390"/>
        <v>0</v>
      </c>
      <c r="AM706" s="159">
        <f t="shared" si="390"/>
        <v>0</v>
      </c>
      <c r="AN706" s="159">
        <f t="shared" si="390"/>
        <v>0</v>
      </c>
      <c r="AO706" s="159">
        <f t="shared" si="390"/>
        <v>0</v>
      </c>
      <c r="AP706" s="159">
        <f t="shared" si="390"/>
        <v>0</v>
      </c>
    </row>
    <row r="707" spans="1:42" x14ac:dyDescent="0.2">
      <c r="A707" s="4" t="s">
        <v>225</v>
      </c>
      <c r="B707" s="160">
        <v>0</v>
      </c>
      <c r="C707" s="160">
        <f>-C722</f>
        <v>0</v>
      </c>
      <c r="D707" s="160">
        <f t="shared" ref="D707:AP707" si="391">-D722</f>
        <v>0</v>
      </c>
      <c r="E707" s="160">
        <f t="shared" si="391"/>
        <v>0</v>
      </c>
      <c r="F707" s="160">
        <f t="shared" si="391"/>
        <v>0</v>
      </c>
      <c r="G707" s="160">
        <f t="shared" si="391"/>
        <v>0</v>
      </c>
      <c r="H707" s="160">
        <f t="shared" si="391"/>
        <v>0</v>
      </c>
      <c r="I707" s="160">
        <f t="shared" si="391"/>
        <v>0</v>
      </c>
      <c r="J707" s="160">
        <f t="shared" si="391"/>
        <v>0</v>
      </c>
      <c r="K707" s="160">
        <f t="shared" si="391"/>
        <v>0</v>
      </c>
      <c r="L707" s="160">
        <f t="shared" si="391"/>
        <v>0</v>
      </c>
      <c r="M707" s="160">
        <f t="shared" si="391"/>
        <v>0</v>
      </c>
      <c r="N707" s="160">
        <f t="shared" si="391"/>
        <v>0</v>
      </c>
      <c r="O707" s="160">
        <f t="shared" si="391"/>
        <v>0</v>
      </c>
      <c r="P707" s="160">
        <f t="shared" si="391"/>
        <v>0</v>
      </c>
      <c r="Q707" s="160">
        <f t="shared" si="391"/>
        <v>0</v>
      </c>
      <c r="R707" s="160">
        <f t="shared" si="391"/>
        <v>0</v>
      </c>
      <c r="S707" s="160">
        <f t="shared" si="391"/>
        <v>0</v>
      </c>
      <c r="T707" s="160">
        <f t="shared" si="391"/>
        <v>0</v>
      </c>
      <c r="U707" s="160">
        <f t="shared" si="391"/>
        <v>0</v>
      </c>
      <c r="V707" s="160">
        <f t="shared" si="391"/>
        <v>0</v>
      </c>
      <c r="W707" s="160">
        <f t="shared" si="391"/>
        <v>0</v>
      </c>
      <c r="X707" s="160">
        <f t="shared" si="391"/>
        <v>0</v>
      </c>
      <c r="Y707" s="160">
        <f t="shared" si="391"/>
        <v>0</v>
      </c>
      <c r="Z707" s="160">
        <f t="shared" si="391"/>
        <v>0</v>
      </c>
      <c r="AA707" s="160">
        <f t="shared" si="391"/>
        <v>0</v>
      </c>
      <c r="AB707" s="160">
        <f t="shared" si="391"/>
        <v>0</v>
      </c>
      <c r="AC707" s="160">
        <f t="shared" si="391"/>
        <v>0</v>
      </c>
      <c r="AD707" s="160">
        <f t="shared" si="391"/>
        <v>0</v>
      </c>
      <c r="AE707" s="160">
        <f t="shared" si="391"/>
        <v>0</v>
      </c>
      <c r="AF707" s="160">
        <f t="shared" si="391"/>
        <v>0</v>
      </c>
      <c r="AG707" s="160">
        <f t="shared" si="391"/>
        <v>0</v>
      </c>
      <c r="AH707" s="160">
        <f t="shared" si="391"/>
        <v>0</v>
      </c>
      <c r="AI707" s="160">
        <f t="shared" si="391"/>
        <v>0</v>
      </c>
      <c r="AJ707" s="160">
        <f t="shared" si="391"/>
        <v>0</v>
      </c>
      <c r="AK707" s="160">
        <f t="shared" si="391"/>
        <v>0</v>
      </c>
      <c r="AL707" s="160">
        <f t="shared" si="391"/>
        <v>0</v>
      </c>
      <c r="AM707" s="160">
        <f t="shared" si="391"/>
        <v>0</v>
      </c>
      <c r="AN707" s="160">
        <f t="shared" si="391"/>
        <v>0</v>
      </c>
      <c r="AO707" s="160">
        <f t="shared" si="391"/>
        <v>0</v>
      </c>
      <c r="AP707" s="160">
        <f t="shared" si="391"/>
        <v>0</v>
      </c>
    </row>
    <row r="708" spans="1:42" x14ac:dyDescent="0.2">
      <c r="A708" s="4" t="s">
        <v>214</v>
      </c>
      <c r="B708" s="159">
        <f>SUM(B705:B707)</f>
        <v>0</v>
      </c>
      <c r="C708" s="159">
        <f>SUM(C705:C707)</f>
        <v>0</v>
      </c>
      <c r="D708" s="159">
        <f t="shared" ref="D708:AP708" si="392">SUM(D705:D707)</f>
        <v>0</v>
      </c>
      <c r="E708" s="159">
        <f t="shared" si="392"/>
        <v>0</v>
      </c>
      <c r="F708" s="159">
        <f t="shared" si="392"/>
        <v>0</v>
      </c>
      <c r="G708" s="159">
        <f t="shared" si="392"/>
        <v>0</v>
      </c>
      <c r="H708" s="159">
        <f t="shared" si="392"/>
        <v>0</v>
      </c>
      <c r="I708" s="159">
        <f t="shared" si="392"/>
        <v>0</v>
      </c>
      <c r="J708" s="159">
        <f t="shared" si="392"/>
        <v>0</v>
      </c>
      <c r="K708" s="159">
        <f t="shared" si="392"/>
        <v>0</v>
      </c>
      <c r="L708" s="159">
        <f t="shared" si="392"/>
        <v>0</v>
      </c>
      <c r="M708" s="159">
        <f t="shared" si="392"/>
        <v>0</v>
      </c>
      <c r="N708" s="159">
        <f t="shared" si="392"/>
        <v>0</v>
      </c>
      <c r="O708" s="159">
        <f t="shared" si="392"/>
        <v>0</v>
      </c>
      <c r="P708" s="159">
        <f t="shared" si="392"/>
        <v>0</v>
      </c>
      <c r="Q708" s="159">
        <f t="shared" si="392"/>
        <v>0</v>
      </c>
      <c r="R708" s="159">
        <f t="shared" si="392"/>
        <v>0</v>
      </c>
      <c r="S708" s="159">
        <f t="shared" si="392"/>
        <v>0</v>
      </c>
      <c r="T708" s="159">
        <f t="shared" si="392"/>
        <v>0</v>
      </c>
      <c r="U708" s="159">
        <f t="shared" si="392"/>
        <v>0</v>
      </c>
      <c r="V708" s="159">
        <f t="shared" si="392"/>
        <v>0</v>
      </c>
      <c r="W708" s="159">
        <f t="shared" si="392"/>
        <v>0</v>
      </c>
      <c r="X708" s="159">
        <f t="shared" si="392"/>
        <v>0</v>
      </c>
      <c r="Y708" s="159">
        <f t="shared" si="392"/>
        <v>0</v>
      </c>
      <c r="Z708" s="159">
        <f t="shared" si="392"/>
        <v>0</v>
      </c>
      <c r="AA708" s="159">
        <f t="shared" si="392"/>
        <v>0</v>
      </c>
      <c r="AB708" s="159">
        <f t="shared" si="392"/>
        <v>0</v>
      </c>
      <c r="AC708" s="159">
        <f t="shared" si="392"/>
        <v>0</v>
      </c>
      <c r="AD708" s="159">
        <f t="shared" si="392"/>
        <v>0</v>
      </c>
      <c r="AE708" s="159">
        <f t="shared" si="392"/>
        <v>0</v>
      </c>
      <c r="AF708" s="159">
        <f t="shared" si="392"/>
        <v>0</v>
      </c>
      <c r="AG708" s="159">
        <f t="shared" si="392"/>
        <v>0</v>
      </c>
      <c r="AH708" s="159">
        <f t="shared" si="392"/>
        <v>0</v>
      </c>
      <c r="AI708" s="159">
        <f t="shared" si="392"/>
        <v>0</v>
      </c>
      <c r="AJ708" s="159">
        <f t="shared" si="392"/>
        <v>0</v>
      </c>
      <c r="AK708" s="159">
        <f t="shared" si="392"/>
        <v>0</v>
      </c>
      <c r="AL708" s="159">
        <f t="shared" si="392"/>
        <v>0</v>
      </c>
      <c r="AM708" s="159">
        <f t="shared" si="392"/>
        <v>0</v>
      </c>
      <c r="AN708" s="159">
        <f t="shared" si="392"/>
        <v>0</v>
      </c>
      <c r="AO708" s="159">
        <f t="shared" si="392"/>
        <v>0</v>
      </c>
      <c r="AP708" s="159">
        <f t="shared" si="392"/>
        <v>0</v>
      </c>
    </row>
    <row r="710" spans="1:42" x14ac:dyDescent="0.2">
      <c r="A710" s="4" t="s">
        <v>227</v>
      </c>
    </row>
    <row r="711" spans="1:42" x14ac:dyDescent="0.2">
      <c r="A711" s="4" t="s">
        <v>228</v>
      </c>
    </row>
    <row r="712" spans="1:42" x14ac:dyDescent="0.2">
      <c r="A712" s="4">
        <v>1</v>
      </c>
      <c r="B712" s="176">
        <f t="shared" ref="B712:B721" si="393">SUM(C712:AP712)</f>
        <v>0</v>
      </c>
      <c r="C712" s="159">
        <f t="shared" ref="C712:AP712" si="394">IF(C$2&gt;analysis_period,0,IF(C$2=equip2_reserve_freq*$A712,equip2_reserve_cost*system_capacity*1000*(1+inflation_rate/100)^B$2,0))</f>
        <v>0</v>
      </c>
      <c r="D712" s="159">
        <f t="shared" si="394"/>
        <v>0</v>
      </c>
      <c r="E712" s="159">
        <f t="shared" si="394"/>
        <v>0</v>
      </c>
      <c r="F712" s="159">
        <f t="shared" si="394"/>
        <v>0</v>
      </c>
      <c r="G712" s="159">
        <f t="shared" si="394"/>
        <v>0</v>
      </c>
      <c r="H712" s="159">
        <f t="shared" si="394"/>
        <v>0</v>
      </c>
      <c r="I712" s="159">
        <f t="shared" si="394"/>
        <v>0</v>
      </c>
      <c r="J712" s="159">
        <f t="shared" si="394"/>
        <v>0</v>
      </c>
      <c r="K712" s="159">
        <f t="shared" si="394"/>
        <v>0</v>
      </c>
      <c r="L712" s="159">
        <f t="shared" si="394"/>
        <v>0</v>
      </c>
      <c r="M712" s="159">
        <f t="shared" si="394"/>
        <v>0</v>
      </c>
      <c r="N712" s="159">
        <f t="shared" si="394"/>
        <v>0</v>
      </c>
      <c r="O712" s="159">
        <f t="shared" si="394"/>
        <v>0</v>
      </c>
      <c r="P712" s="159">
        <f t="shared" si="394"/>
        <v>0</v>
      </c>
      <c r="Q712" s="159">
        <f t="shared" si="394"/>
        <v>0</v>
      </c>
      <c r="R712" s="159">
        <f t="shared" si="394"/>
        <v>0</v>
      </c>
      <c r="S712" s="159">
        <f t="shared" si="394"/>
        <v>0</v>
      </c>
      <c r="T712" s="159">
        <f t="shared" si="394"/>
        <v>0</v>
      </c>
      <c r="U712" s="159">
        <f t="shared" si="394"/>
        <v>0</v>
      </c>
      <c r="V712" s="159">
        <f t="shared" si="394"/>
        <v>0</v>
      </c>
      <c r="W712" s="159">
        <f t="shared" si="394"/>
        <v>0</v>
      </c>
      <c r="X712" s="159">
        <f t="shared" si="394"/>
        <v>0</v>
      </c>
      <c r="Y712" s="159">
        <f t="shared" si="394"/>
        <v>0</v>
      </c>
      <c r="Z712" s="159">
        <f t="shared" si="394"/>
        <v>0</v>
      </c>
      <c r="AA712" s="159">
        <f t="shared" si="394"/>
        <v>0</v>
      </c>
      <c r="AB712" s="159">
        <f t="shared" si="394"/>
        <v>0</v>
      </c>
      <c r="AC712" s="159">
        <f t="shared" si="394"/>
        <v>0</v>
      </c>
      <c r="AD712" s="159">
        <f t="shared" si="394"/>
        <v>0</v>
      </c>
      <c r="AE712" s="159">
        <f t="shared" si="394"/>
        <v>0</v>
      </c>
      <c r="AF712" s="159">
        <f t="shared" si="394"/>
        <v>0</v>
      </c>
      <c r="AG712" s="159">
        <f t="shared" si="394"/>
        <v>0</v>
      </c>
      <c r="AH712" s="159">
        <f t="shared" si="394"/>
        <v>0</v>
      </c>
      <c r="AI712" s="159">
        <f t="shared" si="394"/>
        <v>0</v>
      </c>
      <c r="AJ712" s="159">
        <f t="shared" si="394"/>
        <v>0</v>
      </c>
      <c r="AK712" s="159">
        <f t="shared" si="394"/>
        <v>0</v>
      </c>
      <c r="AL712" s="159">
        <f t="shared" si="394"/>
        <v>0</v>
      </c>
      <c r="AM712" s="159">
        <f t="shared" si="394"/>
        <v>0</v>
      </c>
      <c r="AN712" s="159">
        <f t="shared" si="394"/>
        <v>0</v>
      </c>
      <c r="AO712" s="159">
        <f t="shared" si="394"/>
        <v>0</v>
      </c>
      <c r="AP712" s="159">
        <f t="shared" si="394"/>
        <v>0</v>
      </c>
    </row>
    <row r="713" spans="1:42" x14ac:dyDescent="0.2">
      <c r="A713" s="4">
        <f>A712+1</f>
        <v>2</v>
      </c>
      <c r="B713" s="176">
        <f t="shared" si="393"/>
        <v>0</v>
      </c>
      <c r="C713" s="159">
        <f t="shared" ref="C713:AP713" si="395">IF(C$2&gt;analysis_period,0,IF(C$2=equip2_reserve_freq*$A713,equip2_reserve_cost*system_capacity*1000*(1+inflation_rate/100)^B$2,0))</f>
        <v>0</v>
      </c>
      <c r="D713" s="159">
        <f t="shared" si="395"/>
        <v>0</v>
      </c>
      <c r="E713" s="159">
        <f t="shared" si="395"/>
        <v>0</v>
      </c>
      <c r="F713" s="159">
        <f t="shared" si="395"/>
        <v>0</v>
      </c>
      <c r="G713" s="159">
        <f t="shared" si="395"/>
        <v>0</v>
      </c>
      <c r="H713" s="159">
        <f t="shared" si="395"/>
        <v>0</v>
      </c>
      <c r="I713" s="159">
        <f t="shared" si="395"/>
        <v>0</v>
      </c>
      <c r="J713" s="159">
        <f t="shared" si="395"/>
        <v>0</v>
      </c>
      <c r="K713" s="159">
        <f t="shared" si="395"/>
        <v>0</v>
      </c>
      <c r="L713" s="159">
        <f t="shared" si="395"/>
        <v>0</v>
      </c>
      <c r="M713" s="159">
        <f t="shared" si="395"/>
        <v>0</v>
      </c>
      <c r="N713" s="159">
        <f t="shared" si="395"/>
        <v>0</v>
      </c>
      <c r="O713" s="159">
        <f t="shared" si="395"/>
        <v>0</v>
      </c>
      <c r="P713" s="159">
        <f t="shared" si="395"/>
        <v>0</v>
      </c>
      <c r="Q713" s="159">
        <f t="shared" si="395"/>
        <v>0</v>
      </c>
      <c r="R713" s="159">
        <f t="shared" si="395"/>
        <v>0</v>
      </c>
      <c r="S713" s="159">
        <f t="shared" si="395"/>
        <v>0</v>
      </c>
      <c r="T713" s="159">
        <f t="shared" si="395"/>
        <v>0</v>
      </c>
      <c r="U713" s="159">
        <f t="shared" si="395"/>
        <v>0</v>
      </c>
      <c r="V713" s="159">
        <f t="shared" si="395"/>
        <v>0</v>
      </c>
      <c r="W713" s="159">
        <f t="shared" si="395"/>
        <v>0</v>
      </c>
      <c r="X713" s="159">
        <f t="shared" si="395"/>
        <v>0</v>
      </c>
      <c r="Y713" s="159">
        <f t="shared" si="395"/>
        <v>0</v>
      </c>
      <c r="Z713" s="159">
        <f t="shared" si="395"/>
        <v>0</v>
      </c>
      <c r="AA713" s="159">
        <f t="shared" si="395"/>
        <v>0</v>
      </c>
      <c r="AB713" s="159">
        <f t="shared" si="395"/>
        <v>0</v>
      </c>
      <c r="AC713" s="159">
        <f t="shared" si="395"/>
        <v>0</v>
      </c>
      <c r="AD713" s="159">
        <f t="shared" si="395"/>
        <v>0</v>
      </c>
      <c r="AE713" s="159">
        <f t="shared" si="395"/>
        <v>0</v>
      </c>
      <c r="AF713" s="159">
        <f t="shared" si="395"/>
        <v>0</v>
      </c>
      <c r="AG713" s="159">
        <f t="shared" si="395"/>
        <v>0</v>
      </c>
      <c r="AH713" s="159">
        <f t="shared" si="395"/>
        <v>0</v>
      </c>
      <c r="AI713" s="159">
        <f t="shared" si="395"/>
        <v>0</v>
      </c>
      <c r="AJ713" s="159">
        <f t="shared" si="395"/>
        <v>0</v>
      </c>
      <c r="AK713" s="159">
        <f t="shared" si="395"/>
        <v>0</v>
      </c>
      <c r="AL713" s="159">
        <f t="shared" si="395"/>
        <v>0</v>
      </c>
      <c r="AM713" s="159">
        <f t="shared" si="395"/>
        <v>0</v>
      </c>
      <c r="AN713" s="159">
        <f t="shared" si="395"/>
        <v>0</v>
      </c>
      <c r="AO713" s="159">
        <f t="shared" si="395"/>
        <v>0</v>
      </c>
      <c r="AP713" s="159">
        <f t="shared" si="395"/>
        <v>0</v>
      </c>
    </row>
    <row r="714" spans="1:42" x14ac:dyDescent="0.2">
      <c r="A714" s="4">
        <f t="shared" ref="A714:A721" si="396">A713+1</f>
        <v>3</v>
      </c>
      <c r="B714" s="176">
        <f t="shared" si="393"/>
        <v>0</v>
      </c>
      <c r="C714" s="159">
        <f t="shared" ref="C714:AP714" si="397">IF(C$2&gt;analysis_period,0,IF(C$2=equip2_reserve_freq*$A714,equip2_reserve_cost*system_capacity*1000*(1+inflation_rate/100)^B$2,0))</f>
        <v>0</v>
      </c>
      <c r="D714" s="159">
        <f t="shared" si="397"/>
        <v>0</v>
      </c>
      <c r="E714" s="159">
        <f t="shared" si="397"/>
        <v>0</v>
      </c>
      <c r="F714" s="159">
        <f t="shared" si="397"/>
        <v>0</v>
      </c>
      <c r="G714" s="159">
        <f t="shared" si="397"/>
        <v>0</v>
      </c>
      <c r="H714" s="159">
        <f t="shared" si="397"/>
        <v>0</v>
      </c>
      <c r="I714" s="159">
        <f t="shared" si="397"/>
        <v>0</v>
      </c>
      <c r="J714" s="159">
        <f t="shared" si="397"/>
        <v>0</v>
      </c>
      <c r="K714" s="159">
        <f t="shared" si="397"/>
        <v>0</v>
      </c>
      <c r="L714" s="159">
        <f t="shared" si="397"/>
        <v>0</v>
      </c>
      <c r="M714" s="159">
        <f t="shared" si="397"/>
        <v>0</v>
      </c>
      <c r="N714" s="159">
        <f t="shared" si="397"/>
        <v>0</v>
      </c>
      <c r="O714" s="159">
        <f t="shared" si="397"/>
        <v>0</v>
      </c>
      <c r="P714" s="159">
        <f t="shared" si="397"/>
        <v>0</v>
      </c>
      <c r="Q714" s="159">
        <f t="shared" si="397"/>
        <v>0</v>
      </c>
      <c r="R714" s="159">
        <f t="shared" si="397"/>
        <v>0</v>
      </c>
      <c r="S714" s="159">
        <f t="shared" si="397"/>
        <v>0</v>
      </c>
      <c r="T714" s="159">
        <f t="shared" si="397"/>
        <v>0</v>
      </c>
      <c r="U714" s="159">
        <f t="shared" si="397"/>
        <v>0</v>
      </c>
      <c r="V714" s="159">
        <f t="shared" si="397"/>
        <v>0</v>
      </c>
      <c r="W714" s="159">
        <f t="shared" si="397"/>
        <v>0</v>
      </c>
      <c r="X714" s="159">
        <f t="shared" si="397"/>
        <v>0</v>
      </c>
      <c r="Y714" s="159">
        <f t="shared" si="397"/>
        <v>0</v>
      </c>
      <c r="Z714" s="159">
        <f t="shared" si="397"/>
        <v>0</v>
      </c>
      <c r="AA714" s="159">
        <f t="shared" si="397"/>
        <v>0</v>
      </c>
      <c r="AB714" s="159">
        <f t="shared" si="397"/>
        <v>0</v>
      </c>
      <c r="AC714" s="159">
        <f t="shared" si="397"/>
        <v>0</v>
      </c>
      <c r="AD714" s="159">
        <f t="shared" si="397"/>
        <v>0</v>
      </c>
      <c r="AE714" s="159">
        <f t="shared" si="397"/>
        <v>0</v>
      </c>
      <c r="AF714" s="159">
        <f t="shared" si="397"/>
        <v>0</v>
      </c>
      <c r="AG714" s="159">
        <f t="shared" si="397"/>
        <v>0</v>
      </c>
      <c r="AH714" s="159">
        <f t="shared" si="397"/>
        <v>0</v>
      </c>
      <c r="AI714" s="159">
        <f t="shared" si="397"/>
        <v>0</v>
      </c>
      <c r="AJ714" s="159">
        <f t="shared" si="397"/>
        <v>0</v>
      </c>
      <c r="AK714" s="159">
        <f t="shared" si="397"/>
        <v>0</v>
      </c>
      <c r="AL714" s="159">
        <f t="shared" si="397"/>
        <v>0</v>
      </c>
      <c r="AM714" s="159">
        <f t="shared" si="397"/>
        <v>0</v>
      </c>
      <c r="AN714" s="159">
        <f t="shared" si="397"/>
        <v>0</v>
      </c>
      <c r="AO714" s="159">
        <f t="shared" si="397"/>
        <v>0</v>
      </c>
      <c r="AP714" s="159">
        <f t="shared" si="397"/>
        <v>0</v>
      </c>
    </row>
    <row r="715" spans="1:42" x14ac:dyDescent="0.2">
      <c r="A715" s="4">
        <f t="shared" si="396"/>
        <v>4</v>
      </c>
      <c r="B715" s="176">
        <f t="shared" si="393"/>
        <v>0</v>
      </c>
      <c r="C715" s="159">
        <f t="shared" ref="C715:AP715" si="398">IF(C$2&gt;analysis_period,0,IF(C$2=equip2_reserve_freq*$A715,equip2_reserve_cost*system_capacity*1000*(1+inflation_rate/100)^B$2,0))</f>
        <v>0</v>
      </c>
      <c r="D715" s="159">
        <f t="shared" si="398"/>
        <v>0</v>
      </c>
      <c r="E715" s="159">
        <f t="shared" si="398"/>
        <v>0</v>
      </c>
      <c r="F715" s="159">
        <f t="shared" si="398"/>
        <v>0</v>
      </c>
      <c r="G715" s="159">
        <f t="shared" si="398"/>
        <v>0</v>
      </c>
      <c r="H715" s="159">
        <f t="shared" si="398"/>
        <v>0</v>
      </c>
      <c r="I715" s="159">
        <f t="shared" si="398"/>
        <v>0</v>
      </c>
      <c r="J715" s="159">
        <f t="shared" si="398"/>
        <v>0</v>
      </c>
      <c r="K715" s="159">
        <f t="shared" si="398"/>
        <v>0</v>
      </c>
      <c r="L715" s="159">
        <f t="shared" si="398"/>
        <v>0</v>
      </c>
      <c r="M715" s="159">
        <f t="shared" si="398"/>
        <v>0</v>
      </c>
      <c r="N715" s="159">
        <f t="shared" si="398"/>
        <v>0</v>
      </c>
      <c r="O715" s="159">
        <f t="shared" si="398"/>
        <v>0</v>
      </c>
      <c r="P715" s="159">
        <f t="shared" si="398"/>
        <v>0</v>
      </c>
      <c r="Q715" s="159">
        <f t="shared" si="398"/>
        <v>0</v>
      </c>
      <c r="R715" s="159">
        <f t="shared" si="398"/>
        <v>0</v>
      </c>
      <c r="S715" s="159">
        <f t="shared" si="398"/>
        <v>0</v>
      </c>
      <c r="T715" s="159">
        <f t="shared" si="398"/>
        <v>0</v>
      </c>
      <c r="U715" s="159">
        <f t="shared" si="398"/>
        <v>0</v>
      </c>
      <c r="V715" s="159">
        <f t="shared" si="398"/>
        <v>0</v>
      </c>
      <c r="W715" s="159">
        <f t="shared" si="398"/>
        <v>0</v>
      </c>
      <c r="X715" s="159">
        <f t="shared" si="398"/>
        <v>0</v>
      </c>
      <c r="Y715" s="159">
        <f t="shared" si="398"/>
        <v>0</v>
      </c>
      <c r="Z715" s="159">
        <f t="shared" si="398"/>
        <v>0</v>
      </c>
      <c r="AA715" s="159">
        <f t="shared" si="398"/>
        <v>0</v>
      </c>
      <c r="AB715" s="159">
        <f t="shared" si="398"/>
        <v>0</v>
      </c>
      <c r="AC715" s="159">
        <f t="shared" si="398"/>
        <v>0</v>
      </c>
      <c r="AD715" s="159">
        <f t="shared" si="398"/>
        <v>0</v>
      </c>
      <c r="AE715" s="159">
        <f t="shared" si="398"/>
        <v>0</v>
      </c>
      <c r="AF715" s="159">
        <f t="shared" si="398"/>
        <v>0</v>
      </c>
      <c r="AG715" s="159">
        <f t="shared" si="398"/>
        <v>0</v>
      </c>
      <c r="AH715" s="159">
        <f t="shared" si="398"/>
        <v>0</v>
      </c>
      <c r="AI715" s="159">
        <f t="shared" si="398"/>
        <v>0</v>
      </c>
      <c r="AJ715" s="159">
        <f t="shared" si="398"/>
        <v>0</v>
      </c>
      <c r="AK715" s="159">
        <f t="shared" si="398"/>
        <v>0</v>
      </c>
      <c r="AL715" s="159">
        <f t="shared" si="398"/>
        <v>0</v>
      </c>
      <c r="AM715" s="159">
        <f t="shared" si="398"/>
        <v>0</v>
      </c>
      <c r="AN715" s="159">
        <f t="shared" si="398"/>
        <v>0</v>
      </c>
      <c r="AO715" s="159">
        <f t="shared" si="398"/>
        <v>0</v>
      </c>
      <c r="AP715" s="159">
        <f t="shared" si="398"/>
        <v>0</v>
      </c>
    </row>
    <row r="716" spans="1:42" x14ac:dyDescent="0.2">
      <c r="A716" s="4">
        <f t="shared" si="396"/>
        <v>5</v>
      </c>
      <c r="B716" s="176">
        <f t="shared" si="393"/>
        <v>0</v>
      </c>
      <c r="C716" s="159">
        <f t="shared" ref="C716:AP716" si="399">IF(C$2&gt;analysis_period,0,IF(C$2=equip2_reserve_freq*$A716,equip2_reserve_cost*system_capacity*1000*(1+inflation_rate/100)^B$2,0))</f>
        <v>0</v>
      </c>
      <c r="D716" s="159">
        <f t="shared" si="399"/>
        <v>0</v>
      </c>
      <c r="E716" s="159">
        <f t="shared" si="399"/>
        <v>0</v>
      </c>
      <c r="F716" s="159">
        <f t="shared" si="399"/>
        <v>0</v>
      </c>
      <c r="G716" s="159">
        <f t="shared" si="399"/>
        <v>0</v>
      </c>
      <c r="H716" s="159">
        <f t="shared" si="399"/>
        <v>0</v>
      </c>
      <c r="I716" s="159">
        <f t="shared" si="399"/>
        <v>0</v>
      </c>
      <c r="J716" s="159">
        <f t="shared" si="399"/>
        <v>0</v>
      </c>
      <c r="K716" s="159">
        <f t="shared" si="399"/>
        <v>0</v>
      </c>
      <c r="L716" s="159">
        <f t="shared" si="399"/>
        <v>0</v>
      </c>
      <c r="M716" s="159">
        <f t="shared" si="399"/>
        <v>0</v>
      </c>
      <c r="N716" s="159">
        <f t="shared" si="399"/>
        <v>0</v>
      </c>
      <c r="O716" s="159">
        <f t="shared" si="399"/>
        <v>0</v>
      </c>
      <c r="P716" s="159">
        <f t="shared" si="399"/>
        <v>0</v>
      </c>
      <c r="Q716" s="159">
        <f t="shared" si="399"/>
        <v>0</v>
      </c>
      <c r="R716" s="159">
        <f t="shared" si="399"/>
        <v>0</v>
      </c>
      <c r="S716" s="159">
        <f t="shared" si="399"/>
        <v>0</v>
      </c>
      <c r="T716" s="159">
        <f t="shared" si="399"/>
        <v>0</v>
      </c>
      <c r="U716" s="159">
        <f t="shared" si="399"/>
        <v>0</v>
      </c>
      <c r="V716" s="159">
        <f t="shared" si="399"/>
        <v>0</v>
      </c>
      <c r="W716" s="159">
        <f t="shared" si="399"/>
        <v>0</v>
      </c>
      <c r="X716" s="159">
        <f t="shared" si="399"/>
        <v>0</v>
      </c>
      <c r="Y716" s="159">
        <f t="shared" si="399"/>
        <v>0</v>
      </c>
      <c r="Z716" s="159">
        <f t="shared" si="399"/>
        <v>0</v>
      </c>
      <c r="AA716" s="159">
        <f t="shared" si="399"/>
        <v>0</v>
      </c>
      <c r="AB716" s="159">
        <f t="shared" si="399"/>
        <v>0</v>
      </c>
      <c r="AC716" s="159">
        <f t="shared" si="399"/>
        <v>0</v>
      </c>
      <c r="AD716" s="159">
        <f t="shared" si="399"/>
        <v>0</v>
      </c>
      <c r="AE716" s="159">
        <f t="shared" si="399"/>
        <v>0</v>
      </c>
      <c r="AF716" s="159">
        <f t="shared" si="399"/>
        <v>0</v>
      </c>
      <c r="AG716" s="159">
        <f t="shared" si="399"/>
        <v>0</v>
      </c>
      <c r="AH716" s="159">
        <f t="shared" si="399"/>
        <v>0</v>
      </c>
      <c r="AI716" s="159">
        <f t="shared" si="399"/>
        <v>0</v>
      </c>
      <c r="AJ716" s="159">
        <f t="shared" si="399"/>
        <v>0</v>
      </c>
      <c r="AK716" s="159">
        <f t="shared" si="399"/>
        <v>0</v>
      </c>
      <c r="AL716" s="159">
        <f t="shared" si="399"/>
        <v>0</v>
      </c>
      <c r="AM716" s="159">
        <f t="shared" si="399"/>
        <v>0</v>
      </c>
      <c r="AN716" s="159">
        <f t="shared" si="399"/>
        <v>0</v>
      </c>
      <c r="AO716" s="159">
        <f t="shared" si="399"/>
        <v>0</v>
      </c>
      <c r="AP716" s="159">
        <f t="shared" si="399"/>
        <v>0</v>
      </c>
    </row>
    <row r="717" spans="1:42" x14ac:dyDescent="0.2">
      <c r="A717" s="4">
        <f t="shared" si="396"/>
        <v>6</v>
      </c>
      <c r="B717" s="176">
        <f t="shared" si="393"/>
        <v>0</v>
      </c>
      <c r="C717" s="159">
        <f t="shared" ref="C717:AP717" si="400">IF(C$2&gt;analysis_period,0,IF(C$2=equip2_reserve_freq*$A717,equip2_reserve_cost*system_capacity*1000*(1+inflation_rate/100)^B$2,0))</f>
        <v>0</v>
      </c>
      <c r="D717" s="159">
        <f t="shared" si="400"/>
        <v>0</v>
      </c>
      <c r="E717" s="159">
        <f t="shared" si="400"/>
        <v>0</v>
      </c>
      <c r="F717" s="159">
        <f t="shared" si="400"/>
        <v>0</v>
      </c>
      <c r="G717" s="159">
        <f t="shared" si="400"/>
        <v>0</v>
      </c>
      <c r="H717" s="159">
        <f t="shared" si="400"/>
        <v>0</v>
      </c>
      <c r="I717" s="159">
        <f t="shared" si="400"/>
        <v>0</v>
      </c>
      <c r="J717" s="159">
        <f t="shared" si="400"/>
        <v>0</v>
      </c>
      <c r="K717" s="159">
        <f t="shared" si="400"/>
        <v>0</v>
      </c>
      <c r="L717" s="159">
        <f t="shared" si="400"/>
        <v>0</v>
      </c>
      <c r="M717" s="159">
        <f t="shared" si="400"/>
        <v>0</v>
      </c>
      <c r="N717" s="159">
        <f t="shared" si="400"/>
        <v>0</v>
      </c>
      <c r="O717" s="159">
        <f t="shared" si="400"/>
        <v>0</v>
      </c>
      <c r="P717" s="159">
        <f t="shared" si="400"/>
        <v>0</v>
      </c>
      <c r="Q717" s="159">
        <f t="shared" si="400"/>
        <v>0</v>
      </c>
      <c r="R717" s="159">
        <f t="shared" si="400"/>
        <v>0</v>
      </c>
      <c r="S717" s="159">
        <f t="shared" si="400"/>
        <v>0</v>
      </c>
      <c r="T717" s="159">
        <f t="shared" si="400"/>
        <v>0</v>
      </c>
      <c r="U717" s="159">
        <f t="shared" si="400"/>
        <v>0</v>
      </c>
      <c r="V717" s="159">
        <f t="shared" si="400"/>
        <v>0</v>
      </c>
      <c r="W717" s="159">
        <f t="shared" si="400"/>
        <v>0</v>
      </c>
      <c r="X717" s="159">
        <f t="shared" si="400"/>
        <v>0</v>
      </c>
      <c r="Y717" s="159">
        <f t="shared" si="400"/>
        <v>0</v>
      </c>
      <c r="Z717" s="159">
        <f t="shared" si="400"/>
        <v>0</v>
      </c>
      <c r="AA717" s="159">
        <f t="shared" si="400"/>
        <v>0</v>
      </c>
      <c r="AB717" s="159">
        <f t="shared" si="400"/>
        <v>0</v>
      </c>
      <c r="AC717" s="159">
        <f t="shared" si="400"/>
        <v>0</v>
      </c>
      <c r="AD717" s="159">
        <f t="shared" si="400"/>
        <v>0</v>
      </c>
      <c r="AE717" s="159">
        <f t="shared" si="400"/>
        <v>0</v>
      </c>
      <c r="AF717" s="159">
        <f t="shared" si="400"/>
        <v>0</v>
      </c>
      <c r="AG717" s="159">
        <f t="shared" si="400"/>
        <v>0</v>
      </c>
      <c r="AH717" s="159">
        <f t="shared" si="400"/>
        <v>0</v>
      </c>
      <c r="AI717" s="159">
        <f t="shared" si="400"/>
        <v>0</v>
      </c>
      <c r="AJ717" s="159">
        <f t="shared" si="400"/>
        <v>0</v>
      </c>
      <c r="AK717" s="159">
        <f t="shared" si="400"/>
        <v>0</v>
      </c>
      <c r="AL717" s="159">
        <f t="shared" si="400"/>
        <v>0</v>
      </c>
      <c r="AM717" s="159">
        <f t="shared" si="400"/>
        <v>0</v>
      </c>
      <c r="AN717" s="159">
        <f t="shared" si="400"/>
        <v>0</v>
      </c>
      <c r="AO717" s="159">
        <f t="shared" si="400"/>
        <v>0</v>
      </c>
      <c r="AP717" s="159">
        <f t="shared" si="400"/>
        <v>0</v>
      </c>
    </row>
    <row r="718" spans="1:42" x14ac:dyDescent="0.2">
      <c r="A718" s="4">
        <f t="shared" si="396"/>
        <v>7</v>
      </c>
      <c r="B718" s="176">
        <f t="shared" si="393"/>
        <v>0</v>
      </c>
      <c r="C718" s="159">
        <f t="shared" ref="C718:AP718" si="401">IF(C$2&gt;analysis_period,0,IF(C$2=equip2_reserve_freq*$A718,equip2_reserve_cost*system_capacity*1000*(1+inflation_rate/100)^B$2,0))</f>
        <v>0</v>
      </c>
      <c r="D718" s="159">
        <f t="shared" si="401"/>
        <v>0</v>
      </c>
      <c r="E718" s="159">
        <f t="shared" si="401"/>
        <v>0</v>
      </c>
      <c r="F718" s="159">
        <f t="shared" si="401"/>
        <v>0</v>
      </c>
      <c r="G718" s="159">
        <f t="shared" si="401"/>
        <v>0</v>
      </c>
      <c r="H718" s="159">
        <f t="shared" si="401"/>
        <v>0</v>
      </c>
      <c r="I718" s="159">
        <f t="shared" si="401"/>
        <v>0</v>
      </c>
      <c r="J718" s="159">
        <f t="shared" si="401"/>
        <v>0</v>
      </c>
      <c r="K718" s="159">
        <f t="shared" si="401"/>
        <v>0</v>
      </c>
      <c r="L718" s="159">
        <f t="shared" si="401"/>
        <v>0</v>
      </c>
      <c r="M718" s="159">
        <f t="shared" si="401"/>
        <v>0</v>
      </c>
      <c r="N718" s="159">
        <f t="shared" si="401"/>
        <v>0</v>
      </c>
      <c r="O718" s="159">
        <f t="shared" si="401"/>
        <v>0</v>
      </c>
      <c r="P718" s="159">
        <f t="shared" si="401"/>
        <v>0</v>
      </c>
      <c r="Q718" s="159">
        <f t="shared" si="401"/>
        <v>0</v>
      </c>
      <c r="R718" s="159">
        <f t="shared" si="401"/>
        <v>0</v>
      </c>
      <c r="S718" s="159">
        <f t="shared" si="401"/>
        <v>0</v>
      </c>
      <c r="T718" s="159">
        <f t="shared" si="401"/>
        <v>0</v>
      </c>
      <c r="U718" s="159">
        <f t="shared" si="401"/>
        <v>0</v>
      </c>
      <c r="V718" s="159">
        <f t="shared" si="401"/>
        <v>0</v>
      </c>
      <c r="W718" s="159">
        <f t="shared" si="401"/>
        <v>0</v>
      </c>
      <c r="X718" s="159">
        <f t="shared" si="401"/>
        <v>0</v>
      </c>
      <c r="Y718" s="159">
        <f t="shared" si="401"/>
        <v>0</v>
      </c>
      <c r="Z718" s="159">
        <f t="shared" si="401"/>
        <v>0</v>
      </c>
      <c r="AA718" s="159">
        <f t="shared" si="401"/>
        <v>0</v>
      </c>
      <c r="AB718" s="159">
        <f t="shared" si="401"/>
        <v>0</v>
      </c>
      <c r="AC718" s="159">
        <f t="shared" si="401"/>
        <v>0</v>
      </c>
      <c r="AD718" s="159">
        <f t="shared" si="401"/>
        <v>0</v>
      </c>
      <c r="AE718" s="159">
        <f t="shared" si="401"/>
        <v>0</v>
      </c>
      <c r="AF718" s="159">
        <f t="shared" si="401"/>
        <v>0</v>
      </c>
      <c r="AG718" s="159">
        <f t="shared" si="401"/>
        <v>0</v>
      </c>
      <c r="AH718" s="159">
        <f t="shared" si="401"/>
        <v>0</v>
      </c>
      <c r="AI718" s="159">
        <f t="shared" si="401"/>
        <v>0</v>
      </c>
      <c r="AJ718" s="159">
        <f t="shared" si="401"/>
        <v>0</v>
      </c>
      <c r="AK718" s="159">
        <f t="shared" si="401"/>
        <v>0</v>
      </c>
      <c r="AL718" s="159">
        <f t="shared" si="401"/>
        <v>0</v>
      </c>
      <c r="AM718" s="159">
        <f t="shared" si="401"/>
        <v>0</v>
      </c>
      <c r="AN718" s="159">
        <f t="shared" si="401"/>
        <v>0</v>
      </c>
      <c r="AO718" s="159">
        <f t="shared" si="401"/>
        <v>0</v>
      </c>
      <c r="AP718" s="159">
        <f t="shared" si="401"/>
        <v>0</v>
      </c>
    </row>
    <row r="719" spans="1:42" x14ac:dyDescent="0.2">
      <c r="A719" s="4">
        <f t="shared" si="396"/>
        <v>8</v>
      </c>
      <c r="B719" s="176">
        <f t="shared" si="393"/>
        <v>0</v>
      </c>
      <c r="C719" s="159">
        <f t="shared" ref="C719:AP719" si="402">IF(C$2&gt;analysis_period,0,IF(C$2=equip2_reserve_freq*$A719,equip2_reserve_cost*system_capacity*1000*(1+inflation_rate/100)^B$2,0))</f>
        <v>0</v>
      </c>
      <c r="D719" s="159">
        <f t="shared" si="402"/>
        <v>0</v>
      </c>
      <c r="E719" s="159">
        <f t="shared" si="402"/>
        <v>0</v>
      </c>
      <c r="F719" s="159">
        <f t="shared" si="402"/>
        <v>0</v>
      </c>
      <c r="G719" s="159">
        <f t="shared" si="402"/>
        <v>0</v>
      </c>
      <c r="H719" s="159">
        <f t="shared" si="402"/>
        <v>0</v>
      </c>
      <c r="I719" s="159">
        <f t="shared" si="402"/>
        <v>0</v>
      </c>
      <c r="J719" s="159">
        <f t="shared" si="402"/>
        <v>0</v>
      </c>
      <c r="K719" s="159">
        <f t="shared" si="402"/>
        <v>0</v>
      </c>
      <c r="L719" s="159">
        <f t="shared" si="402"/>
        <v>0</v>
      </c>
      <c r="M719" s="159">
        <f t="shared" si="402"/>
        <v>0</v>
      </c>
      <c r="N719" s="159">
        <f t="shared" si="402"/>
        <v>0</v>
      </c>
      <c r="O719" s="159">
        <f t="shared" si="402"/>
        <v>0</v>
      </c>
      <c r="P719" s="159">
        <f t="shared" si="402"/>
        <v>0</v>
      </c>
      <c r="Q719" s="159">
        <f t="shared" si="402"/>
        <v>0</v>
      </c>
      <c r="R719" s="159">
        <f t="shared" si="402"/>
        <v>0</v>
      </c>
      <c r="S719" s="159">
        <f t="shared" si="402"/>
        <v>0</v>
      </c>
      <c r="T719" s="159">
        <f t="shared" si="402"/>
        <v>0</v>
      </c>
      <c r="U719" s="159">
        <f t="shared" si="402"/>
        <v>0</v>
      </c>
      <c r="V719" s="159">
        <f t="shared" si="402"/>
        <v>0</v>
      </c>
      <c r="W719" s="159">
        <f t="shared" si="402"/>
        <v>0</v>
      </c>
      <c r="X719" s="159">
        <f t="shared" si="402"/>
        <v>0</v>
      </c>
      <c r="Y719" s="159">
        <f t="shared" si="402"/>
        <v>0</v>
      </c>
      <c r="Z719" s="159">
        <f t="shared" si="402"/>
        <v>0</v>
      </c>
      <c r="AA719" s="159">
        <f t="shared" si="402"/>
        <v>0</v>
      </c>
      <c r="AB719" s="159">
        <f t="shared" si="402"/>
        <v>0</v>
      </c>
      <c r="AC719" s="159">
        <f t="shared" si="402"/>
        <v>0</v>
      </c>
      <c r="AD719" s="159">
        <f t="shared" si="402"/>
        <v>0</v>
      </c>
      <c r="AE719" s="159">
        <f t="shared" si="402"/>
        <v>0</v>
      </c>
      <c r="AF719" s="159">
        <f t="shared" si="402"/>
        <v>0</v>
      </c>
      <c r="AG719" s="159">
        <f t="shared" si="402"/>
        <v>0</v>
      </c>
      <c r="AH719" s="159">
        <f t="shared" si="402"/>
        <v>0</v>
      </c>
      <c r="AI719" s="159">
        <f t="shared" si="402"/>
        <v>0</v>
      </c>
      <c r="AJ719" s="159">
        <f t="shared" si="402"/>
        <v>0</v>
      </c>
      <c r="AK719" s="159">
        <f t="shared" si="402"/>
        <v>0</v>
      </c>
      <c r="AL719" s="159">
        <f t="shared" si="402"/>
        <v>0</v>
      </c>
      <c r="AM719" s="159">
        <f t="shared" si="402"/>
        <v>0</v>
      </c>
      <c r="AN719" s="159">
        <f t="shared" si="402"/>
        <v>0</v>
      </c>
      <c r="AO719" s="159">
        <f t="shared" si="402"/>
        <v>0</v>
      </c>
      <c r="AP719" s="159">
        <f t="shared" si="402"/>
        <v>0</v>
      </c>
    </row>
    <row r="720" spans="1:42" x14ac:dyDescent="0.2">
      <c r="A720" s="4">
        <f>A719+1</f>
        <v>9</v>
      </c>
      <c r="B720" s="176">
        <f t="shared" si="393"/>
        <v>0</v>
      </c>
      <c r="C720" s="159">
        <f t="shared" ref="C720:AP720" si="403">IF(C$2&gt;analysis_period,0,IF(C$2=equip2_reserve_freq*$A720,equip2_reserve_cost*system_capacity*1000*(1+inflation_rate/100)^B$2,0))</f>
        <v>0</v>
      </c>
      <c r="D720" s="159">
        <f t="shared" si="403"/>
        <v>0</v>
      </c>
      <c r="E720" s="159">
        <f t="shared" si="403"/>
        <v>0</v>
      </c>
      <c r="F720" s="159">
        <f t="shared" si="403"/>
        <v>0</v>
      </c>
      <c r="G720" s="159">
        <f t="shared" si="403"/>
        <v>0</v>
      </c>
      <c r="H720" s="159">
        <f t="shared" si="403"/>
        <v>0</v>
      </c>
      <c r="I720" s="159">
        <f t="shared" si="403"/>
        <v>0</v>
      </c>
      <c r="J720" s="159">
        <f t="shared" si="403"/>
        <v>0</v>
      </c>
      <c r="K720" s="159">
        <f t="shared" si="403"/>
        <v>0</v>
      </c>
      <c r="L720" s="159">
        <f t="shared" si="403"/>
        <v>0</v>
      </c>
      <c r="M720" s="159">
        <f t="shared" si="403"/>
        <v>0</v>
      </c>
      <c r="N720" s="159">
        <f t="shared" si="403"/>
        <v>0</v>
      </c>
      <c r="O720" s="159">
        <f t="shared" si="403"/>
        <v>0</v>
      </c>
      <c r="P720" s="159">
        <f t="shared" si="403"/>
        <v>0</v>
      </c>
      <c r="Q720" s="159">
        <f t="shared" si="403"/>
        <v>0</v>
      </c>
      <c r="R720" s="159">
        <f t="shared" si="403"/>
        <v>0</v>
      </c>
      <c r="S720" s="159">
        <f t="shared" si="403"/>
        <v>0</v>
      </c>
      <c r="T720" s="159">
        <f t="shared" si="403"/>
        <v>0</v>
      </c>
      <c r="U720" s="159">
        <f t="shared" si="403"/>
        <v>0</v>
      </c>
      <c r="V720" s="159">
        <f t="shared" si="403"/>
        <v>0</v>
      </c>
      <c r="W720" s="159">
        <f t="shared" si="403"/>
        <v>0</v>
      </c>
      <c r="X720" s="159">
        <f t="shared" si="403"/>
        <v>0</v>
      </c>
      <c r="Y720" s="159">
        <f t="shared" si="403"/>
        <v>0</v>
      </c>
      <c r="Z720" s="159">
        <f t="shared" si="403"/>
        <v>0</v>
      </c>
      <c r="AA720" s="159">
        <f t="shared" si="403"/>
        <v>0</v>
      </c>
      <c r="AB720" s="159">
        <f t="shared" si="403"/>
        <v>0</v>
      </c>
      <c r="AC720" s="159">
        <f t="shared" si="403"/>
        <v>0</v>
      </c>
      <c r="AD720" s="159">
        <f t="shared" si="403"/>
        <v>0</v>
      </c>
      <c r="AE720" s="159">
        <f t="shared" si="403"/>
        <v>0</v>
      </c>
      <c r="AF720" s="159">
        <f t="shared" si="403"/>
        <v>0</v>
      </c>
      <c r="AG720" s="159">
        <f t="shared" si="403"/>
        <v>0</v>
      </c>
      <c r="AH720" s="159">
        <f t="shared" si="403"/>
        <v>0</v>
      </c>
      <c r="AI720" s="159">
        <f t="shared" si="403"/>
        <v>0</v>
      </c>
      <c r="AJ720" s="159">
        <f t="shared" si="403"/>
        <v>0</v>
      </c>
      <c r="AK720" s="159">
        <f t="shared" si="403"/>
        <v>0</v>
      </c>
      <c r="AL720" s="159">
        <f t="shared" si="403"/>
        <v>0</v>
      </c>
      <c r="AM720" s="159">
        <f t="shared" si="403"/>
        <v>0</v>
      </c>
      <c r="AN720" s="159">
        <f t="shared" si="403"/>
        <v>0</v>
      </c>
      <c r="AO720" s="159">
        <f t="shared" si="403"/>
        <v>0</v>
      </c>
      <c r="AP720" s="159">
        <f t="shared" si="403"/>
        <v>0</v>
      </c>
    </row>
    <row r="721" spans="1:42" x14ac:dyDescent="0.2">
      <c r="A721" s="4">
        <f t="shared" si="396"/>
        <v>10</v>
      </c>
      <c r="B721" s="176">
        <f t="shared" si="393"/>
        <v>0</v>
      </c>
      <c r="C721" s="159">
        <f t="shared" ref="C721:AP721" si="404">IF(C$2&gt;analysis_period,0,IF(C$2=equip2_reserve_freq*$A721,equip2_reserve_cost*system_capacity*1000*(1+inflation_rate/100)^B$2,0))</f>
        <v>0</v>
      </c>
      <c r="D721" s="159">
        <f t="shared" si="404"/>
        <v>0</v>
      </c>
      <c r="E721" s="159">
        <f t="shared" si="404"/>
        <v>0</v>
      </c>
      <c r="F721" s="159">
        <f t="shared" si="404"/>
        <v>0</v>
      </c>
      <c r="G721" s="159">
        <f t="shared" si="404"/>
        <v>0</v>
      </c>
      <c r="H721" s="159">
        <f t="shared" si="404"/>
        <v>0</v>
      </c>
      <c r="I721" s="159">
        <f t="shared" si="404"/>
        <v>0</v>
      </c>
      <c r="J721" s="159">
        <f t="shared" si="404"/>
        <v>0</v>
      </c>
      <c r="K721" s="159">
        <f t="shared" si="404"/>
        <v>0</v>
      </c>
      <c r="L721" s="159">
        <f t="shared" si="404"/>
        <v>0</v>
      </c>
      <c r="M721" s="159">
        <f t="shared" si="404"/>
        <v>0</v>
      </c>
      <c r="N721" s="159">
        <f t="shared" si="404"/>
        <v>0</v>
      </c>
      <c r="O721" s="159">
        <f t="shared" si="404"/>
        <v>0</v>
      </c>
      <c r="P721" s="159">
        <f t="shared" si="404"/>
        <v>0</v>
      </c>
      <c r="Q721" s="159">
        <f t="shared" si="404"/>
        <v>0</v>
      </c>
      <c r="R721" s="159">
        <f t="shared" si="404"/>
        <v>0</v>
      </c>
      <c r="S721" s="159">
        <f t="shared" si="404"/>
        <v>0</v>
      </c>
      <c r="T721" s="159">
        <f t="shared" si="404"/>
        <v>0</v>
      </c>
      <c r="U721" s="159">
        <f t="shared" si="404"/>
        <v>0</v>
      </c>
      <c r="V721" s="159">
        <f t="shared" si="404"/>
        <v>0</v>
      </c>
      <c r="W721" s="159">
        <f t="shared" si="404"/>
        <v>0</v>
      </c>
      <c r="X721" s="159">
        <f t="shared" si="404"/>
        <v>0</v>
      </c>
      <c r="Y721" s="159">
        <f t="shared" si="404"/>
        <v>0</v>
      </c>
      <c r="Z721" s="159">
        <f t="shared" si="404"/>
        <v>0</v>
      </c>
      <c r="AA721" s="159">
        <f t="shared" si="404"/>
        <v>0</v>
      </c>
      <c r="AB721" s="159">
        <f t="shared" si="404"/>
        <v>0</v>
      </c>
      <c r="AC721" s="159">
        <f t="shared" si="404"/>
        <v>0</v>
      </c>
      <c r="AD721" s="159">
        <f t="shared" si="404"/>
        <v>0</v>
      </c>
      <c r="AE721" s="159">
        <f t="shared" si="404"/>
        <v>0</v>
      </c>
      <c r="AF721" s="159">
        <f t="shared" si="404"/>
        <v>0</v>
      </c>
      <c r="AG721" s="159">
        <f t="shared" si="404"/>
        <v>0</v>
      </c>
      <c r="AH721" s="159">
        <f t="shared" si="404"/>
        <v>0</v>
      </c>
      <c r="AI721" s="159">
        <f t="shared" si="404"/>
        <v>0</v>
      </c>
      <c r="AJ721" s="159">
        <f t="shared" si="404"/>
        <v>0</v>
      </c>
      <c r="AK721" s="159">
        <f t="shared" si="404"/>
        <v>0</v>
      </c>
      <c r="AL721" s="159">
        <f t="shared" si="404"/>
        <v>0</v>
      </c>
      <c r="AM721" s="159">
        <f t="shared" si="404"/>
        <v>0</v>
      </c>
      <c r="AN721" s="159">
        <f t="shared" si="404"/>
        <v>0</v>
      </c>
      <c r="AO721" s="159">
        <f t="shared" si="404"/>
        <v>0</v>
      </c>
      <c r="AP721" s="159">
        <f t="shared" si="404"/>
        <v>0</v>
      </c>
    </row>
    <row r="722" spans="1:42" x14ac:dyDescent="0.2">
      <c r="A722" s="27" t="s">
        <v>13</v>
      </c>
      <c r="B722" s="15"/>
      <c r="C722" s="159">
        <f>SUM(C712:C721)</f>
        <v>0</v>
      </c>
      <c r="D722" s="159">
        <f t="shared" ref="D722:AP722" si="405">SUM(D712:D721)</f>
        <v>0</v>
      </c>
      <c r="E722" s="159">
        <f t="shared" si="405"/>
        <v>0</v>
      </c>
      <c r="F722" s="159">
        <f t="shared" si="405"/>
        <v>0</v>
      </c>
      <c r="G722" s="159">
        <f t="shared" si="405"/>
        <v>0</v>
      </c>
      <c r="H722" s="159">
        <f t="shared" si="405"/>
        <v>0</v>
      </c>
      <c r="I722" s="159">
        <f t="shared" si="405"/>
        <v>0</v>
      </c>
      <c r="J722" s="159">
        <f t="shared" si="405"/>
        <v>0</v>
      </c>
      <c r="K722" s="159">
        <f t="shared" si="405"/>
        <v>0</v>
      </c>
      <c r="L722" s="159">
        <f t="shared" si="405"/>
        <v>0</v>
      </c>
      <c r="M722" s="159">
        <f t="shared" si="405"/>
        <v>0</v>
      </c>
      <c r="N722" s="159">
        <f t="shared" si="405"/>
        <v>0</v>
      </c>
      <c r="O722" s="159">
        <f t="shared" si="405"/>
        <v>0</v>
      </c>
      <c r="P722" s="159">
        <f t="shared" si="405"/>
        <v>0</v>
      </c>
      <c r="Q722" s="159">
        <f t="shared" si="405"/>
        <v>0</v>
      </c>
      <c r="R722" s="159">
        <f t="shared" si="405"/>
        <v>0</v>
      </c>
      <c r="S722" s="159">
        <f t="shared" si="405"/>
        <v>0</v>
      </c>
      <c r="T722" s="159">
        <f t="shared" si="405"/>
        <v>0</v>
      </c>
      <c r="U722" s="159">
        <f t="shared" si="405"/>
        <v>0</v>
      </c>
      <c r="V722" s="159">
        <f t="shared" si="405"/>
        <v>0</v>
      </c>
      <c r="W722" s="159">
        <f t="shared" si="405"/>
        <v>0</v>
      </c>
      <c r="X722" s="159">
        <f t="shared" si="405"/>
        <v>0</v>
      </c>
      <c r="Y722" s="159">
        <f t="shared" si="405"/>
        <v>0</v>
      </c>
      <c r="Z722" s="159">
        <f t="shared" si="405"/>
        <v>0</v>
      </c>
      <c r="AA722" s="159">
        <f t="shared" si="405"/>
        <v>0</v>
      </c>
      <c r="AB722" s="159">
        <f t="shared" si="405"/>
        <v>0</v>
      </c>
      <c r="AC722" s="159">
        <f t="shared" si="405"/>
        <v>0</v>
      </c>
      <c r="AD722" s="159">
        <f t="shared" si="405"/>
        <v>0</v>
      </c>
      <c r="AE722" s="159">
        <f t="shared" si="405"/>
        <v>0</v>
      </c>
      <c r="AF722" s="159">
        <f t="shared" si="405"/>
        <v>0</v>
      </c>
      <c r="AG722" s="159">
        <f t="shared" si="405"/>
        <v>0</v>
      </c>
      <c r="AH722" s="159">
        <f t="shared" si="405"/>
        <v>0</v>
      </c>
      <c r="AI722" s="159">
        <f t="shared" si="405"/>
        <v>0</v>
      </c>
      <c r="AJ722" s="159">
        <f t="shared" si="405"/>
        <v>0</v>
      </c>
      <c r="AK722" s="159">
        <f t="shared" si="405"/>
        <v>0</v>
      </c>
      <c r="AL722" s="159">
        <f t="shared" si="405"/>
        <v>0</v>
      </c>
      <c r="AM722" s="159">
        <f t="shared" si="405"/>
        <v>0</v>
      </c>
      <c r="AN722" s="159">
        <f t="shared" si="405"/>
        <v>0</v>
      </c>
      <c r="AO722" s="159">
        <f t="shared" si="405"/>
        <v>0</v>
      </c>
      <c r="AP722" s="159">
        <f t="shared" si="405"/>
        <v>0</v>
      </c>
    </row>
    <row r="723" spans="1:42" x14ac:dyDescent="0.2">
      <c r="A723" s="4" t="s">
        <v>229</v>
      </c>
    </row>
    <row r="724" spans="1:42" x14ac:dyDescent="0.2">
      <c r="A724" s="4">
        <v>1</v>
      </c>
      <c r="B724" s="181">
        <f t="shared" ref="B724:B733" si="406">SUM(C724:AP724)</f>
        <v>0</v>
      </c>
      <c r="C724" s="159">
        <f t="shared" ref="C724:AP724" si="407">IF(C$2&lt;=equip2_reserve_freq*$A$712,$B$712/(equip2_reserve_freq),0)</f>
        <v>0</v>
      </c>
      <c r="D724" s="159">
        <f t="shared" si="407"/>
        <v>0</v>
      </c>
      <c r="E724" s="159">
        <f t="shared" si="407"/>
        <v>0</v>
      </c>
      <c r="F724" s="159">
        <f t="shared" si="407"/>
        <v>0</v>
      </c>
      <c r="G724" s="159">
        <f t="shared" si="407"/>
        <v>0</v>
      </c>
      <c r="H724" s="159">
        <f t="shared" si="407"/>
        <v>0</v>
      </c>
      <c r="I724" s="159">
        <f t="shared" si="407"/>
        <v>0</v>
      </c>
      <c r="J724" s="159">
        <f t="shared" si="407"/>
        <v>0</v>
      </c>
      <c r="K724" s="159">
        <f t="shared" si="407"/>
        <v>0</v>
      </c>
      <c r="L724" s="159">
        <f t="shared" si="407"/>
        <v>0</v>
      </c>
      <c r="M724" s="159">
        <f t="shared" si="407"/>
        <v>0</v>
      </c>
      <c r="N724" s="159">
        <f t="shared" si="407"/>
        <v>0</v>
      </c>
      <c r="O724" s="159">
        <f t="shared" si="407"/>
        <v>0</v>
      </c>
      <c r="P724" s="159">
        <f t="shared" si="407"/>
        <v>0</v>
      </c>
      <c r="Q724" s="159">
        <f t="shared" si="407"/>
        <v>0</v>
      </c>
      <c r="R724" s="159">
        <f t="shared" si="407"/>
        <v>0</v>
      </c>
      <c r="S724" s="159">
        <f t="shared" si="407"/>
        <v>0</v>
      </c>
      <c r="T724" s="159">
        <f t="shared" si="407"/>
        <v>0</v>
      </c>
      <c r="U724" s="159">
        <f t="shared" si="407"/>
        <v>0</v>
      </c>
      <c r="V724" s="159">
        <f t="shared" si="407"/>
        <v>0</v>
      </c>
      <c r="W724" s="159">
        <f t="shared" si="407"/>
        <v>0</v>
      </c>
      <c r="X724" s="159">
        <f t="shared" si="407"/>
        <v>0</v>
      </c>
      <c r="Y724" s="159">
        <f t="shared" si="407"/>
        <v>0</v>
      </c>
      <c r="Z724" s="159">
        <f t="shared" si="407"/>
        <v>0</v>
      </c>
      <c r="AA724" s="159">
        <f t="shared" si="407"/>
        <v>0</v>
      </c>
      <c r="AB724" s="159">
        <f t="shared" si="407"/>
        <v>0</v>
      </c>
      <c r="AC724" s="159">
        <f t="shared" si="407"/>
        <v>0</v>
      </c>
      <c r="AD724" s="159">
        <f t="shared" si="407"/>
        <v>0</v>
      </c>
      <c r="AE724" s="159">
        <f t="shared" si="407"/>
        <v>0</v>
      </c>
      <c r="AF724" s="159">
        <f t="shared" si="407"/>
        <v>0</v>
      </c>
      <c r="AG724" s="159">
        <f t="shared" si="407"/>
        <v>0</v>
      </c>
      <c r="AH724" s="159">
        <f t="shared" si="407"/>
        <v>0</v>
      </c>
      <c r="AI724" s="159">
        <f t="shared" si="407"/>
        <v>0</v>
      </c>
      <c r="AJ724" s="159">
        <f t="shared" si="407"/>
        <v>0</v>
      </c>
      <c r="AK724" s="159">
        <f t="shared" si="407"/>
        <v>0</v>
      </c>
      <c r="AL724" s="159">
        <f t="shared" si="407"/>
        <v>0</v>
      </c>
      <c r="AM724" s="159">
        <f t="shared" si="407"/>
        <v>0</v>
      </c>
      <c r="AN724" s="159">
        <f t="shared" si="407"/>
        <v>0</v>
      </c>
      <c r="AO724" s="159">
        <f t="shared" si="407"/>
        <v>0</v>
      </c>
      <c r="AP724" s="159">
        <f t="shared" si="407"/>
        <v>0</v>
      </c>
    </row>
    <row r="725" spans="1:42" x14ac:dyDescent="0.2">
      <c r="A725" s="4">
        <f>A724+1</f>
        <v>2</v>
      </c>
      <c r="B725" s="181">
        <f t="shared" si="406"/>
        <v>0</v>
      </c>
      <c r="C725" s="159">
        <f t="shared" ref="C725:AP725" si="408">IF(AND(C$2&gt;equip2_reserve_freq*$A712,C$2&lt;=equip2_reserve_freq*$A713),$B713/(equip2_reserve_freq),0)</f>
        <v>0</v>
      </c>
      <c r="D725" s="159">
        <f t="shared" si="408"/>
        <v>0</v>
      </c>
      <c r="E725" s="159">
        <f t="shared" si="408"/>
        <v>0</v>
      </c>
      <c r="F725" s="159">
        <f t="shared" si="408"/>
        <v>0</v>
      </c>
      <c r="G725" s="159">
        <f t="shared" si="408"/>
        <v>0</v>
      </c>
      <c r="H725" s="159">
        <f t="shared" si="408"/>
        <v>0</v>
      </c>
      <c r="I725" s="159">
        <f t="shared" si="408"/>
        <v>0</v>
      </c>
      <c r="J725" s="159">
        <f t="shared" si="408"/>
        <v>0</v>
      </c>
      <c r="K725" s="159">
        <f t="shared" si="408"/>
        <v>0</v>
      </c>
      <c r="L725" s="159">
        <f t="shared" si="408"/>
        <v>0</v>
      </c>
      <c r="M725" s="159">
        <f t="shared" si="408"/>
        <v>0</v>
      </c>
      <c r="N725" s="159">
        <f t="shared" si="408"/>
        <v>0</v>
      </c>
      <c r="O725" s="159">
        <f t="shared" si="408"/>
        <v>0</v>
      </c>
      <c r="P725" s="159">
        <f t="shared" si="408"/>
        <v>0</v>
      </c>
      <c r="Q725" s="159">
        <f t="shared" si="408"/>
        <v>0</v>
      </c>
      <c r="R725" s="159">
        <f t="shared" si="408"/>
        <v>0</v>
      </c>
      <c r="S725" s="159">
        <f t="shared" si="408"/>
        <v>0</v>
      </c>
      <c r="T725" s="159">
        <f t="shared" si="408"/>
        <v>0</v>
      </c>
      <c r="U725" s="159">
        <f t="shared" si="408"/>
        <v>0</v>
      </c>
      <c r="V725" s="159">
        <f t="shared" si="408"/>
        <v>0</v>
      </c>
      <c r="W725" s="159">
        <f t="shared" si="408"/>
        <v>0</v>
      </c>
      <c r="X725" s="159">
        <f t="shared" si="408"/>
        <v>0</v>
      </c>
      <c r="Y725" s="159">
        <f t="shared" si="408"/>
        <v>0</v>
      </c>
      <c r="Z725" s="159">
        <f t="shared" si="408"/>
        <v>0</v>
      </c>
      <c r="AA725" s="159">
        <f t="shared" si="408"/>
        <v>0</v>
      </c>
      <c r="AB725" s="159">
        <f t="shared" si="408"/>
        <v>0</v>
      </c>
      <c r="AC725" s="159">
        <f t="shared" si="408"/>
        <v>0</v>
      </c>
      <c r="AD725" s="159">
        <f t="shared" si="408"/>
        <v>0</v>
      </c>
      <c r="AE725" s="159">
        <f t="shared" si="408"/>
        <v>0</v>
      </c>
      <c r="AF725" s="159">
        <f t="shared" si="408"/>
        <v>0</v>
      </c>
      <c r="AG725" s="159">
        <f t="shared" si="408"/>
        <v>0</v>
      </c>
      <c r="AH725" s="159">
        <f t="shared" si="408"/>
        <v>0</v>
      </c>
      <c r="AI725" s="159">
        <f t="shared" si="408"/>
        <v>0</v>
      </c>
      <c r="AJ725" s="159">
        <f t="shared" si="408"/>
        <v>0</v>
      </c>
      <c r="AK725" s="159">
        <f t="shared" si="408"/>
        <v>0</v>
      </c>
      <c r="AL725" s="159">
        <f t="shared" si="408"/>
        <v>0</v>
      </c>
      <c r="AM725" s="159">
        <f t="shared" si="408"/>
        <v>0</v>
      </c>
      <c r="AN725" s="159">
        <f t="shared" si="408"/>
        <v>0</v>
      </c>
      <c r="AO725" s="159">
        <f t="shared" si="408"/>
        <v>0</v>
      </c>
      <c r="AP725" s="159">
        <f t="shared" si="408"/>
        <v>0</v>
      </c>
    </row>
    <row r="726" spans="1:42" x14ac:dyDescent="0.2">
      <c r="A726" s="4">
        <f t="shared" ref="A726:A731" si="409">A725+1</f>
        <v>3</v>
      </c>
      <c r="B726" s="181">
        <f t="shared" si="406"/>
        <v>0</v>
      </c>
      <c r="C726" s="159">
        <f t="shared" ref="C726:AP726" si="410">IF(AND(C$2&gt;equip2_reserve_freq*$A713,C$2&lt;=equip2_reserve_freq*$A714),$B714/(equip2_reserve_freq),0)</f>
        <v>0</v>
      </c>
      <c r="D726" s="159">
        <f t="shared" si="410"/>
        <v>0</v>
      </c>
      <c r="E726" s="159">
        <f t="shared" si="410"/>
        <v>0</v>
      </c>
      <c r="F726" s="159">
        <f t="shared" si="410"/>
        <v>0</v>
      </c>
      <c r="G726" s="159">
        <f t="shared" si="410"/>
        <v>0</v>
      </c>
      <c r="H726" s="159">
        <f t="shared" si="410"/>
        <v>0</v>
      </c>
      <c r="I726" s="159">
        <f t="shared" si="410"/>
        <v>0</v>
      </c>
      <c r="J726" s="159">
        <f t="shared" si="410"/>
        <v>0</v>
      </c>
      <c r="K726" s="159">
        <f t="shared" si="410"/>
        <v>0</v>
      </c>
      <c r="L726" s="159">
        <f t="shared" si="410"/>
        <v>0</v>
      </c>
      <c r="M726" s="159">
        <f t="shared" si="410"/>
        <v>0</v>
      </c>
      <c r="N726" s="159">
        <f t="shared" si="410"/>
        <v>0</v>
      </c>
      <c r="O726" s="159">
        <f t="shared" si="410"/>
        <v>0</v>
      </c>
      <c r="P726" s="159">
        <f t="shared" si="410"/>
        <v>0</v>
      </c>
      <c r="Q726" s="159">
        <f t="shared" si="410"/>
        <v>0</v>
      </c>
      <c r="R726" s="159">
        <f t="shared" si="410"/>
        <v>0</v>
      </c>
      <c r="S726" s="159">
        <f t="shared" si="410"/>
        <v>0</v>
      </c>
      <c r="T726" s="159">
        <f t="shared" si="410"/>
        <v>0</v>
      </c>
      <c r="U726" s="159">
        <f t="shared" si="410"/>
        <v>0</v>
      </c>
      <c r="V726" s="159">
        <f t="shared" si="410"/>
        <v>0</v>
      </c>
      <c r="W726" s="159">
        <f t="shared" si="410"/>
        <v>0</v>
      </c>
      <c r="X726" s="159">
        <f t="shared" si="410"/>
        <v>0</v>
      </c>
      <c r="Y726" s="159">
        <f t="shared" si="410"/>
        <v>0</v>
      </c>
      <c r="Z726" s="159">
        <f t="shared" si="410"/>
        <v>0</v>
      </c>
      <c r="AA726" s="159">
        <f t="shared" si="410"/>
        <v>0</v>
      </c>
      <c r="AB726" s="159">
        <f t="shared" si="410"/>
        <v>0</v>
      </c>
      <c r="AC726" s="159">
        <f t="shared" si="410"/>
        <v>0</v>
      </c>
      <c r="AD726" s="159">
        <f t="shared" si="410"/>
        <v>0</v>
      </c>
      <c r="AE726" s="159">
        <f t="shared" si="410"/>
        <v>0</v>
      </c>
      <c r="AF726" s="159">
        <f t="shared" si="410"/>
        <v>0</v>
      </c>
      <c r="AG726" s="159">
        <f t="shared" si="410"/>
        <v>0</v>
      </c>
      <c r="AH726" s="159">
        <f t="shared" si="410"/>
        <v>0</v>
      </c>
      <c r="AI726" s="159">
        <f t="shared" si="410"/>
        <v>0</v>
      </c>
      <c r="AJ726" s="159">
        <f t="shared" si="410"/>
        <v>0</v>
      </c>
      <c r="AK726" s="159">
        <f t="shared" si="410"/>
        <v>0</v>
      </c>
      <c r="AL726" s="159">
        <f t="shared" si="410"/>
        <v>0</v>
      </c>
      <c r="AM726" s="159">
        <f t="shared" si="410"/>
        <v>0</v>
      </c>
      <c r="AN726" s="159">
        <f t="shared" si="410"/>
        <v>0</v>
      </c>
      <c r="AO726" s="159">
        <f t="shared" si="410"/>
        <v>0</v>
      </c>
      <c r="AP726" s="159">
        <f t="shared" si="410"/>
        <v>0</v>
      </c>
    </row>
    <row r="727" spans="1:42" x14ac:dyDescent="0.2">
      <c r="A727" s="4">
        <f t="shared" si="409"/>
        <v>4</v>
      </c>
      <c r="B727" s="181">
        <f t="shared" si="406"/>
        <v>0</v>
      </c>
      <c r="C727" s="159">
        <f t="shared" ref="C727:AP727" si="411">IF(AND(C$2&gt;equip2_reserve_freq*$A714,C$2&lt;=equip2_reserve_freq*$A715),$B715/(equip2_reserve_freq),0)</f>
        <v>0</v>
      </c>
      <c r="D727" s="159">
        <f t="shared" si="411"/>
        <v>0</v>
      </c>
      <c r="E727" s="159">
        <f t="shared" si="411"/>
        <v>0</v>
      </c>
      <c r="F727" s="159">
        <f t="shared" si="411"/>
        <v>0</v>
      </c>
      <c r="G727" s="159">
        <f t="shared" si="411"/>
        <v>0</v>
      </c>
      <c r="H727" s="159">
        <f t="shared" si="411"/>
        <v>0</v>
      </c>
      <c r="I727" s="159">
        <f t="shared" si="411"/>
        <v>0</v>
      </c>
      <c r="J727" s="159">
        <f t="shared" si="411"/>
        <v>0</v>
      </c>
      <c r="K727" s="159">
        <f t="shared" si="411"/>
        <v>0</v>
      </c>
      <c r="L727" s="159">
        <f t="shared" si="411"/>
        <v>0</v>
      </c>
      <c r="M727" s="159">
        <f t="shared" si="411"/>
        <v>0</v>
      </c>
      <c r="N727" s="159">
        <f t="shared" si="411"/>
        <v>0</v>
      </c>
      <c r="O727" s="159">
        <f t="shared" si="411"/>
        <v>0</v>
      </c>
      <c r="P727" s="159">
        <f t="shared" si="411"/>
        <v>0</v>
      </c>
      <c r="Q727" s="159">
        <f t="shared" si="411"/>
        <v>0</v>
      </c>
      <c r="R727" s="159">
        <f t="shared" si="411"/>
        <v>0</v>
      </c>
      <c r="S727" s="159">
        <f t="shared" si="411"/>
        <v>0</v>
      </c>
      <c r="T727" s="159">
        <f t="shared" si="411"/>
        <v>0</v>
      </c>
      <c r="U727" s="159">
        <f t="shared" si="411"/>
        <v>0</v>
      </c>
      <c r="V727" s="159">
        <f t="shared" si="411"/>
        <v>0</v>
      </c>
      <c r="W727" s="159">
        <f t="shared" si="411"/>
        <v>0</v>
      </c>
      <c r="X727" s="159">
        <f t="shared" si="411"/>
        <v>0</v>
      </c>
      <c r="Y727" s="159">
        <f t="shared" si="411"/>
        <v>0</v>
      </c>
      <c r="Z727" s="159">
        <f t="shared" si="411"/>
        <v>0</v>
      </c>
      <c r="AA727" s="159">
        <f t="shared" si="411"/>
        <v>0</v>
      </c>
      <c r="AB727" s="159">
        <f t="shared" si="411"/>
        <v>0</v>
      </c>
      <c r="AC727" s="159">
        <f t="shared" si="411"/>
        <v>0</v>
      </c>
      <c r="AD727" s="159">
        <f t="shared" si="411"/>
        <v>0</v>
      </c>
      <c r="AE727" s="159">
        <f t="shared" si="411"/>
        <v>0</v>
      </c>
      <c r="AF727" s="159">
        <f t="shared" si="411"/>
        <v>0</v>
      </c>
      <c r="AG727" s="159">
        <f t="shared" si="411"/>
        <v>0</v>
      </c>
      <c r="AH727" s="159">
        <f t="shared" si="411"/>
        <v>0</v>
      </c>
      <c r="AI727" s="159">
        <f t="shared" si="411"/>
        <v>0</v>
      </c>
      <c r="AJ727" s="159">
        <f t="shared" si="411"/>
        <v>0</v>
      </c>
      <c r="AK727" s="159">
        <f t="shared" si="411"/>
        <v>0</v>
      </c>
      <c r="AL727" s="159">
        <f t="shared" si="411"/>
        <v>0</v>
      </c>
      <c r="AM727" s="159">
        <f t="shared" si="411"/>
        <v>0</v>
      </c>
      <c r="AN727" s="159">
        <f t="shared" si="411"/>
        <v>0</v>
      </c>
      <c r="AO727" s="159">
        <f t="shared" si="411"/>
        <v>0</v>
      </c>
      <c r="AP727" s="159">
        <f t="shared" si="411"/>
        <v>0</v>
      </c>
    </row>
    <row r="728" spans="1:42" x14ac:dyDescent="0.2">
      <c r="A728" s="4">
        <f t="shared" si="409"/>
        <v>5</v>
      </c>
      <c r="B728" s="181">
        <f t="shared" si="406"/>
        <v>0</v>
      </c>
      <c r="C728" s="159">
        <f t="shared" ref="C728:AP728" si="412">IF(AND(C$2&gt;equip2_reserve_freq*$A715,C$2&lt;=equip2_reserve_freq*$A716),$B716/(equip2_reserve_freq),0)</f>
        <v>0</v>
      </c>
      <c r="D728" s="159">
        <f t="shared" si="412"/>
        <v>0</v>
      </c>
      <c r="E728" s="159">
        <f t="shared" si="412"/>
        <v>0</v>
      </c>
      <c r="F728" s="159">
        <f t="shared" si="412"/>
        <v>0</v>
      </c>
      <c r="G728" s="159">
        <f t="shared" si="412"/>
        <v>0</v>
      </c>
      <c r="H728" s="159">
        <f t="shared" si="412"/>
        <v>0</v>
      </c>
      <c r="I728" s="159">
        <f t="shared" si="412"/>
        <v>0</v>
      </c>
      <c r="J728" s="159">
        <f t="shared" si="412"/>
        <v>0</v>
      </c>
      <c r="K728" s="159">
        <f t="shared" si="412"/>
        <v>0</v>
      </c>
      <c r="L728" s="159">
        <f t="shared" si="412"/>
        <v>0</v>
      </c>
      <c r="M728" s="159">
        <f t="shared" si="412"/>
        <v>0</v>
      </c>
      <c r="N728" s="159">
        <f t="shared" si="412"/>
        <v>0</v>
      </c>
      <c r="O728" s="159">
        <f t="shared" si="412"/>
        <v>0</v>
      </c>
      <c r="P728" s="159">
        <f t="shared" si="412"/>
        <v>0</v>
      </c>
      <c r="Q728" s="159">
        <f t="shared" si="412"/>
        <v>0</v>
      </c>
      <c r="R728" s="159">
        <f t="shared" si="412"/>
        <v>0</v>
      </c>
      <c r="S728" s="159">
        <f t="shared" si="412"/>
        <v>0</v>
      </c>
      <c r="T728" s="159">
        <f t="shared" si="412"/>
        <v>0</v>
      </c>
      <c r="U728" s="159">
        <f t="shared" si="412"/>
        <v>0</v>
      </c>
      <c r="V728" s="159">
        <f t="shared" si="412"/>
        <v>0</v>
      </c>
      <c r="W728" s="159">
        <f t="shared" si="412"/>
        <v>0</v>
      </c>
      <c r="X728" s="159">
        <f t="shared" si="412"/>
        <v>0</v>
      </c>
      <c r="Y728" s="159">
        <f t="shared" si="412"/>
        <v>0</v>
      </c>
      <c r="Z728" s="159">
        <f t="shared" si="412"/>
        <v>0</v>
      </c>
      <c r="AA728" s="159">
        <f t="shared" si="412"/>
        <v>0</v>
      </c>
      <c r="AB728" s="159">
        <f t="shared" si="412"/>
        <v>0</v>
      </c>
      <c r="AC728" s="159">
        <f t="shared" si="412"/>
        <v>0</v>
      </c>
      <c r="AD728" s="159">
        <f t="shared" si="412"/>
        <v>0</v>
      </c>
      <c r="AE728" s="159">
        <f t="shared" si="412"/>
        <v>0</v>
      </c>
      <c r="AF728" s="159">
        <f t="shared" si="412"/>
        <v>0</v>
      </c>
      <c r="AG728" s="159">
        <f t="shared" si="412"/>
        <v>0</v>
      </c>
      <c r="AH728" s="159">
        <f t="shared" si="412"/>
        <v>0</v>
      </c>
      <c r="AI728" s="159">
        <f t="shared" si="412"/>
        <v>0</v>
      </c>
      <c r="AJ728" s="159">
        <f t="shared" si="412"/>
        <v>0</v>
      </c>
      <c r="AK728" s="159">
        <f t="shared" si="412"/>
        <v>0</v>
      </c>
      <c r="AL728" s="159">
        <f t="shared" si="412"/>
        <v>0</v>
      </c>
      <c r="AM728" s="159">
        <f t="shared" si="412"/>
        <v>0</v>
      </c>
      <c r="AN728" s="159">
        <f t="shared" si="412"/>
        <v>0</v>
      </c>
      <c r="AO728" s="159">
        <f t="shared" si="412"/>
        <v>0</v>
      </c>
      <c r="AP728" s="159">
        <f t="shared" si="412"/>
        <v>0</v>
      </c>
    </row>
    <row r="729" spans="1:42" x14ac:dyDescent="0.2">
      <c r="A729" s="4">
        <f t="shared" si="409"/>
        <v>6</v>
      </c>
      <c r="B729" s="181">
        <f t="shared" si="406"/>
        <v>0</v>
      </c>
      <c r="C729" s="159">
        <f t="shared" ref="C729:AP729" si="413">IF(AND(C$2&gt;equip2_reserve_freq*$A716,C$2&lt;=equip2_reserve_freq*$A717),$B717/(equip2_reserve_freq),0)</f>
        <v>0</v>
      </c>
      <c r="D729" s="159">
        <f t="shared" si="413"/>
        <v>0</v>
      </c>
      <c r="E729" s="159">
        <f t="shared" si="413"/>
        <v>0</v>
      </c>
      <c r="F729" s="159">
        <f t="shared" si="413"/>
        <v>0</v>
      </c>
      <c r="G729" s="159">
        <f t="shared" si="413"/>
        <v>0</v>
      </c>
      <c r="H729" s="159">
        <f t="shared" si="413"/>
        <v>0</v>
      </c>
      <c r="I729" s="159">
        <f t="shared" si="413"/>
        <v>0</v>
      </c>
      <c r="J729" s="159">
        <f t="shared" si="413"/>
        <v>0</v>
      </c>
      <c r="K729" s="159">
        <f t="shared" si="413"/>
        <v>0</v>
      </c>
      <c r="L729" s="159">
        <f t="shared" si="413"/>
        <v>0</v>
      </c>
      <c r="M729" s="159">
        <f t="shared" si="413"/>
        <v>0</v>
      </c>
      <c r="N729" s="159">
        <f t="shared" si="413"/>
        <v>0</v>
      </c>
      <c r="O729" s="159">
        <f t="shared" si="413"/>
        <v>0</v>
      </c>
      <c r="P729" s="159">
        <f t="shared" si="413"/>
        <v>0</v>
      </c>
      <c r="Q729" s="159">
        <f t="shared" si="413"/>
        <v>0</v>
      </c>
      <c r="R729" s="159">
        <f t="shared" si="413"/>
        <v>0</v>
      </c>
      <c r="S729" s="159">
        <f t="shared" si="413"/>
        <v>0</v>
      </c>
      <c r="T729" s="159">
        <f t="shared" si="413"/>
        <v>0</v>
      </c>
      <c r="U729" s="159">
        <f t="shared" si="413"/>
        <v>0</v>
      </c>
      <c r="V729" s="159">
        <f t="shared" si="413"/>
        <v>0</v>
      </c>
      <c r="W729" s="159">
        <f t="shared" si="413"/>
        <v>0</v>
      </c>
      <c r="X729" s="159">
        <f t="shared" si="413"/>
        <v>0</v>
      </c>
      <c r="Y729" s="159">
        <f t="shared" si="413"/>
        <v>0</v>
      </c>
      <c r="Z729" s="159">
        <f t="shared" si="413"/>
        <v>0</v>
      </c>
      <c r="AA729" s="159">
        <f t="shared" si="413"/>
        <v>0</v>
      </c>
      <c r="AB729" s="159">
        <f t="shared" si="413"/>
        <v>0</v>
      </c>
      <c r="AC729" s="159">
        <f t="shared" si="413"/>
        <v>0</v>
      </c>
      <c r="AD729" s="159">
        <f t="shared" si="413"/>
        <v>0</v>
      </c>
      <c r="AE729" s="159">
        <f t="shared" si="413"/>
        <v>0</v>
      </c>
      <c r="AF729" s="159">
        <f t="shared" si="413"/>
        <v>0</v>
      </c>
      <c r="AG729" s="159">
        <f t="shared" si="413"/>
        <v>0</v>
      </c>
      <c r="AH729" s="159">
        <f t="shared" si="413"/>
        <v>0</v>
      </c>
      <c r="AI729" s="159">
        <f t="shared" si="413"/>
        <v>0</v>
      </c>
      <c r="AJ729" s="159">
        <f t="shared" si="413"/>
        <v>0</v>
      </c>
      <c r="AK729" s="159">
        <f t="shared" si="413"/>
        <v>0</v>
      </c>
      <c r="AL729" s="159">
        <f t="shared" si="413"/>
        <v>0</v>
      </c>
      <c r="AM729" s="159">
        <f t="shared" si="413"/>
        <v>0</v>
      </c>
      <c r="AN729" s="159">
        <f t="shared" si="413"/>
        <v>0</v>
      </c>
      <c r="AO729" s="159">
        <f t="shared" si="413"/>
        <v>0</v>
      </c>
      <c r="AP729" s="159">
        <f t="shared" si="413"/>
        <v>0</v>
      </c>
    </row>
    <row r="730" spans="1:42" x14ac:dyDescent="0.2">
      <c r="A730" s="4">
        <f t="shared" si="409"/>
        <v>7</v>
      </c>
      <c r="B730" s="181">
        <f t="shared" si="406"/>
        <v>0</v>
      </c>
      <c r="C730" s="159">
        <f t="shared" ref="C730:AP730" si="414">IF(AND(C$2&gt;equip2_reserve_freq*$A717,C$2&lt;=equip2_reserve_freq*$A718),$B718/(equip2_reserve_freq),0)</f>
        <v>0</v>
      </c>
      <c r="D730" s="159">
        <f t="shared" si="414"/>
        <v>0</v>
      </c>
      <c r="E730" s="159">
        <f t="shared" si="414"/>
        <v>0</v>
      </c>
      <c r="F730" s="159">
        <f t="shared" si="414"/>
        <v>0</v>
      </c>
      <c r="G730" s="159">
        <f t="shared" si="414"/>
        <v>0</v>
      </c>
      <c r="H730" s="159">
        <f t="shared" si="414"/>
        <v>0</v>
      </c>
      <c r="I730" s="159">
        <f t="shared" si="414"/>
        <v>0</v>
      </c>
      <c r="J730" s="159">
        <f t="shared" si="414"/>
        <v>0</v>
      </c>
      <c r="K730" s="159">
        <f t="shared" si="414"/>
        <v>0</v>
      </c>
      <c r="L730" s="159">
        <f t="shared" si="414"/>
        <v>0</v>
      </c>
      <c r="M730" s="159">
        <f t="shared" si="414"/>
        <v>0</v>
      </c>
      <c r="N730" s="159">
        <f t="shared" si="414"/>
        <v>0</v>
      </c>
      <c r="O730" s="159">
        <f t="shared" si="414"/>
        <v>0</v>
      </c>
      <c r="P730" s="159">
        <f t="shared" si="414"/>
        <v>0</v>
      </c>
      <c r="Q730" s="159">
        <f t="shared" si="414"/>
        <v>0</v>
      </c>
      <c r="R730" s="159">
        <f t="shared" si="414"/>
        <v>0</v>
      </c>
      <c r="S730" s="159">
        <f t="shared" si="414"/>
        <v>0</v>
      </c>
      <c r="T730" s="159">
        <f t="shared" si="414"/>
        <v>0</v>
      </c>
      <c r="U730" s="159">
        <f t="shared" si="414"/>
        <v>0</v>
      </c>
      <c r="V730" s="159">
        <f t="shared" si="414"/>
        <v>0</v>
      </c>
      <c r="W730" s="159">
        <f t="shared" si="414"/>
        <v>0</v>
      </c>
      <c r="X730" s="159">
        <f t="shared" si="414"/>
        <v>0</v>
      </c>
      <c r="Y730" s="159">
        <f t="shared" si="414"/>
        <v>0</v>
      </c>
      <c r="Z730" s="159">
        <f t="shared" si="414"/>
        <v>0</v>
      </c>
      <c r="AA730" s="159">
        <f t="shared" si="414"/>
        <v>0</v>
      </c>
      <c r="AB730" s="159">
        <f t="shared" si="414"/>
        <v>0</v>
      </c>
      <c r="AC730" s="159">
        <f t="shared" si="414"/>
        <v>0</v>
      </c>
      <c r="AD730" s="159">
        <f t="shared" si="414"/>
        <v>0</v>
      </c>
      <c r="AE730" s="159">
        <f t="shared" si="414"/>
        <v>0</v>
      </c>
      <c r="AF730" s="159">
        <f t="shared" si="414"/>
        <v>0</v>
      </c>
      <c r="AG730" s="159">
        <f t="shared" si="414"/>
        <v>0</v>
      </c>
      <c r="AH730" s="159">
        <f t="shared" si="414"/>
        <v>0</v>
      </c>
      <c r="AI730" s="159">
        <f t="shared" si="414"/>
        <v>0</v>
      </c>
      <c r="AJ730" s="159">
        <f t="shared" si="414"/>
        <v>0</v>
      </c>
      <c r="AK730" s="159">
        <f t="shared" si="414"/>
        <v>0</v>
      </c>
      <c r="AL730" s="159">
        <f t="shared" si="414"/>
        <v>0</v>
      </c>
      <c r="AM730" s="159">
        <f t="shared" si="414"/>
        <v>0</v>
      </c>
      <c r="AN730" s="159">
        <f t="shared" si="414"/>
        <v>0</v>
      </c>
      <c r="AO730" s="159">
        <f t="shared" si="414"/>
        <v>0</v>
      </c>
      <c r="AP730" s="159">
        <f t="shared" si="414"/>
        <v>0</v>
      </c>
    </row>
    <row r="731" spans="1:42" x14ac:dyDescent="0.2">
      <c r="A731" s="4">
        <f t="shared" si="409"/>
        <v>8</v>
      </c>
      <c r="B731" s="181">
        <f t="shared" si="406"/>
        <v>0</v>
      </c>
      <c r="C731" s="159">
        <f t="shared" ref="C731:AP731" si="415">IF(AND(C$2&gt;equip2_reserve_freq*$A718,C$2&lt;=equip2_reserve_freq*$A719),$B719/(equip2_reserve_freq),0)</f>
        <v>0</v>
      </c>
      <c r="D731" s="159">
        <f t="shared" si="415"/>
        <v>0</v>
      </c>
      <c r="E731" s="159">
        <f t="shared" si="415"/>
        <v>0</v>
      </c>
      <c r="F731" s="159">
        <f t="shared" si="415"/>
        <v>0</v>
      </c>
      <c r="G731" s="159">
        <f t="shared" si="415"/>
        <v>0</v>
      </c>
      <c r="H731" s="159">
        <f t="shared" si="415"/>
        <v>0</v>
      </c>
      <c r="I731" s="159">
        <f t="shared" si="415"/>
        <v>0</v>
      </c>
      <c r="J731" s="159">
        <f t="shared" si="415"/>
        <v>0</v>
      </c>
      <c r="K731" s="159">
        <f t="shared" si="415"/>
        <v>0</v>
      </c>
      <c r="L731" s="159">
        <f t="shared" si="415"/>
        <v>0</v>
      </c>
      <c r="M731" s="159">
        <f t="shared" si="415"/>
        <v>0</v>
      </c>
      <c r="N731" s="159">
        <f t="shared" si="415"/>
        <v>0</v>
      </c>
      <c r="O731" s="159">
        <f t="shared" si="415"/>
        <v>0</v>
      </c>
      <c r="P731" s="159">
        <f t="shared" si="415"/>
        <v>0</v>
      </c>
      <c r="Q731" s="159">
        <f t="shared" si="415"/>
        <v>0</v>
      </c>
      <c r="R731" s="159">
        <f t="shared" si="415"/>
        <v>0</v>
      </c>
      <c r="S731" s="159">
        <f t="shared" si="415"/>
        <v>0</v>
      </c>
      <c r="T731" s="159">
        <f t="shared" si="415"/>
        <v>0</v>
      </c>
      <c r="U731" s="159">
        <f t="shared" si="415"/>
        <v>0</v>
      </c>
      <c r="V731" s="159">
        <f t="shared" si="415"/>
        <v>0</v>
      </c>
      <c r="W731" s="159">
        <f t="shared" si="415"/>
        <v>0</v>
      </c>
      <c r="X731" s="159">
        <f t="shared" si="415"/>
        <v>0</v>
      </c>
      <c r="Y731" s="159">
        <f t="shared" si="415"/>
        <v>0</v>
      </c>
      <c r="Z731" s="159">
        <f t="shared" si="415"/>
        <v>0</v>
      </c>
      <c r="AA731" s="159">
        <f t="shared" si="415"/>
        <v>0</v>
      </c>
      <c r="AB731" s="159">
        <f t="shared" si="415"/>
        <v>0</v>
      </c>
      <c r="AC731" s="159">
        <f t="shared" si="415"/>
        <v>0</v>
      </c>
      <c r="AD731" s="159">
        <f t="shared" si="415"/>
        <v>0</v>
      </c>
      <c r="AE731" s="159">
        <f t="shared" si="415"/>
        <v>0</v>
      </c>
      <c r="AF731" s="159">
        <f t="shared" si="415"/>
        <v>0</v>
      </c>
      <c r="AG731" s="159">
        <f t="shared" si="415"/>
        <v>0</v>
      </c>
      <c r="AH731" s="159">
        <f t="shared" si="415"/>
        <v>0</v>
      </c>
      <c r="AI731" s="159">
        <f t="shared" si="415"/>
        <v>0</v>
      </c>
      <c r="AJ731" s="159">
        <f t="shared" si="415"/>
        <v>0</v>
      </c>
      <c r="AK731" s="159">
        <f t="shared" si="415"/>
        <v>0</v>
      </c>
      <c r="AL731" s="159">
        <f t="shared" si="415"/>
        <v>0</v>
      </c>
      <c r="AM731" s="159">
        <f t="shared" si="415"/>
        <v>0</v>
      </c>
      <c r="AN731" s="159">
        <f t="shared" si="415"/>
        <v>0</v>
      </c>
      <c r="AO731" s="159">
        <f t="shared" si="415"/>
        <v>0</v>
      </c>
      <c r="AP731" s="159">
        <f t="shared" si="415"/>
        <v>0</v>
      </c>
    </row>
    <row r="732" spans="1:42" x14ac:dyDescent="0.2">
      <c r="A732" s="4">
        <f>A731+1</f>
        <v>9</v>
      </c>
      <c r="B732" s="181">
        <f t="shared" si="406"/>
        <v>0</v>
      </c>
      <c r="C732" s="159">
        <f t="shared" ref="C732:AP732" si="416">IF(AND(C$2&gt;equip2_reserve_freq*$A719,C$2&lt;=equip2_reserve_freq*$A720),$B720/(equip2_reserve_freq),0)</f>
        <v>0</v>
      </c>
      <c r="D732" s="159">
        <f t="shared" si="416"/>
        <v>0</v>
      </c>
      <c r="E732" s="159">
        <f t="shared" si="416"/>
        <v>0</v>
      </c>
      <c r="F732" s="159">
        <f t="shared" si="416"/>
        <v>0</v>
      </c>
      <c r="G732" s="159">
        <f t="shared" si="416"/>
        <v>0</v>
      </c>
      <c r="H732" s="159">
        <f t="shared" si="416"/>
        <v>0</v>
      </c>
      <c r="I732" s="159">
        <f t="shared" si="416"/>
        <v>0</v>
      </c>
      <c r="J732" s="159">
        <f t="shared" si="416"/>
        <v>0</v>
      </c>
      <c r="K732" s="159">
        <f t="shared" si="416"/>
        <v>0</v>
      </c>
      <c r="L732" s="159">
        <f t="shared" si="416"/>
        <v>0</v>
      </c>
      <c r="M732" s="159">
        <f t="shared" si="416"/>
        <v>0</v>
      </c>
      <c r="N732" s="159">
        <f t="shared" si="416"/>
        <v>0</v>
      </c>
      <c r="O732" s="159">
        <f t="shared" si="416"/>
        <v>0</v>
      </c>
      <c r="P732" s="159">
        <f t="shared" si="416"/>
        <v>0</v>
      </c>
      <c r="Q732" s="159">
        <f t="shared" si="416"/>
        <v>0</v>
      </c>
      <c r="R732" s="159">
        <f t="shared" si="416"/>
        <v>0</v>
      </c>
      <c r="S732" s="159">
        <f t="shared" si="416"/>
        <v>0</v>
      </c>
      <c r="T732" s="159">
        <f t="shared" si="416"/>
        <v>0</v>
      </c>
      <c r="U732" s="159">
        <f t="shared" si="416"/>
        <v>0</v>
      </c>
      <c r="V732" s="159">
        <f t="shared" si="416"/>
        <v>0</v>
      </c>
      <c r="W732" s="159">
        <f t="shared" si="416"/>
        <v>0</v>
      </c>
      <c r="X732" s="159">
        <f t="shared" si="416"/>
        <v>0</v>
      </c>
      <c r="Y732" s="159">
        <f t="shared" si="416"/>
        <v>0</v>
      </c>
      <c r="Z732" s="159">
        <f t="shared" si="416"/>
        <v>0</v>
      </c>
      <c r="AA732" s="159">
        <f t="shared" si="416"/>
        <v>0</v>
      </c>
      <c r="AB732" s="159">
        <f t="shared" si="416"/>
        <v>0</v>
      </c>
      <c r="AC732" s="159">
        <f t="shared" si="416"/>
        <v>0</v>
      </c>
      <c r="AD732" s="159">
        <f t="shared" si="416"/>
        <v>0</v>
      </c>
      <c r="AE732" s="159">
        <f t="shared" si="416"/>
        <v>0</v>
      </c>
      <c r="AF732" s="159">
        <f t="shared" si="416"/>
        <v>0</v>
      </c>
      <c r="AG732" s="159">
        <f t="shared" si="416"/>
        <v>0</v>
      </c>
      <c r="AH732" s="159">
        <f t="shared" si="416"/>
        <v>0</v>
      </c>
      <c r="AI732" s="159">
        <f t="shared" si="416"/>
        <v>0</v>
      </c>
      <c r="AJ732" s="159">
        <f t="shared" si="416"/>
        <v>0</v>
      </c>
      <c r="AK732" s="159">
        <f t="shared" si="416"/>
        <v>0</v>
      </c>
      <c r="AL732" s="159">
        <f t="shared" si="416"/>
        <v>0</v>
      </c>
      <c r="AM732" s="159">
        <f t="shared" si="416"/>
        <v>0</v>
      </c>
      <c r="AN732" s="159">
        <f t="shared" si="416"/>
        <v>0</v>
      </c>
      <c r="AO732" s="159">
        <f t="shared" si="416"/>
        <v>0</v>
      </c>
      <c r="AP732" s="159">
        <f t="shared" si="416"/>
        <v>0</v>
      </c>
    </row>
    <row r="733" spans="1:42" x14ac:dyDescent="0.2">
      <c r="A733" s="4">
        <f t="shared" ref="A733" si="417">A732+1</f>
        <v>10</v>
      </c>
      <c r="B733" s="181">
        <f t="shared" si="406"/>
        <v>0</v>
      </c>
      <c r="C733" s="160">
        <f t="shared" ref="C733:AP733" si="418">IF(AND(C$2&gt;equip2_reserve_freq*$A720,C$2&lt;=equip2_reserve_freq*$A721),$B721/(equip2_reserve_freq),0)</f>
        <v>0</v>
      </c>
      <c r="D733" s="160">
        <f t="shared" si="418"/>
        <v>0</v>
      </c>
      <c r="E733" s="160">
        <f t="shared" si="418"/>
        <v>0</v>
      </c>
      <c r="F733" s="160">
        <f t="shared" si="418"/>
        <v>0</v>
      </c>
      <c r="G733" s="160">
        <f t="shared" si="418"/>
        <v>0</v>
      </c>
      <c r="H733" s="160">
        <f t="shared" si="418"/>
        <v>0</v>
      </c>
      <c r="I733" s="160">
        <f t="shared" si="418"/>
        <v>0</v>
      </c>
      <c r="J733" s="160">
        <f t="shared" si="418"/>
        <v>0</v>
      </c>
      <c r="K733" s="160">
        <f t="shared" si="418"/>
        <v>0</v>
      </c>
      <c r="L733" s="160">
        <f t="shared" si="418"/>
        <v>0</v>
      </c>
      <c r="M733" s="160">
        <f t="shared" si="418"/>
        <v>0</v>
      </c>
      <c r="N733" s="160">
        <f t="shared" si="418"/>
        <v>0</v>
      </c>
      <c r="O733" s="160">
        <f t="shared" si="418"/>
        <v>0</v>
      </c>
      <c r="P733" s="160">
        <f t="shared" si="418"/>
        <v>0</v>
      </c>
      <c r="Q733" s="160">
        <f t="shared" si="418"/>
        <v>0</v>
      </c>
      <c r="R733" s="160">
        <f t="shared" si="418"/>
        <v>0</v>
      </c>
      <c r="S733" s="160">
        <f t="shared" si="418"/>
        <v>0</v>
      </c>
      <c r="T733" s="160">
        <f t="shared" si="418"/>
        <v>0</v>
      </c>
      <c r="U733" s="160">
        <f t="shared" si="418"/>
        <v>0</v>
      </c>
      <c r="V733" s="160">
        <f t="shared" si="418"/>
        <v>0</v>
      </c>
      <c r="W733" s="160">
        <f t="shared" si="418"/>
        <v>0</v>
      </c>
      <c r="X733" s="160">
        <f t="shared" si="418"/>
        <v>0</v>
      </c>
      <c r="Y733" s="160">
        <f t="shared" si="418"/>
        <v>0</v>
      </c>
      <c r="Z733" s="160">
        <f t="shared" si="418"/>
        <v>0</v>
      </c>
      <c r="AA733" s="160">
        <f t="shared" si="418"/>
        <v>0</v>
      </c>
      <c r="AB733" s="160">
        <f t="shared" si="418"/>
        <v>0</v>
      </c>
      <c r="AC733" s="160">
        <f t="shared" si="418"/>
        <v>0</v>
      </c>
      <c r="AD733" s="160">
        <f t="shared" si="418"/>
        <v>0</v>
      </c>
      <c r="AE733" s="160">
        <f t="shared" si="418"/>
        <v>0</v>
      </c>
      <c r="AF733" s="160">
        <f t="shared" si="418"/>
        <v>0</v>
      </c>
      <c r="AG733" s="160">
        <f t="shared" si="418"/>
        <v>0</v>
      </c>
      <c r="AH733" s="160">
        <f t="shared" si="418"/>
        <v>0</v>
      </c>
      <c r="AI733" s="160">
        <f t="shared" si="418"/>
        <v>0</v>
      </c>
      <c r="AJ733" s="160">
        <f t="shared" si="418"/>
        <v>0</v>
      </c>
      <c r="AK733" s="160">
        <f t="shared" si="418"/>
        <v>0</v>
      </c>
      <c r="AL733" s="160">
        <f t="shared" si="418"/>
        <v>0</v>
      </c>
      <c r="AM733" s="160">
        <f t="shared" si="418"/>
        <v>0</v>
      </c>
      <c r="AN733" s="160">
        <f t="shared" si="418"/>
        <v>0</v>
      </c>
      <c r="AO733" s="160">
        <f t="shared" si="418"/>
        <v>0</v>
      </c>
      <c r="AP733" s="160">
        <f t="shared" si="418"/>
        <v>0</v>
      </c>
    </row>
    <row r="734" spans="1:42" x14ac:dyDescent="0.2">
      <c r="A734" s="27" t="s">
        <v>13</v>
      </c>
      <c r="B734" s="15"/>
      <c r="C734" s="159">
        <f>SUM(C724:C733)</f>
        <v>0</v>
      </c>
      <c r="D734" s="159">
        <f t="shared" ref="D734:AP734" si="419">SUM(D724:D733)</f>
        <v>0</v>
      </c>
      <c r="E734" s="159">
        <f t="shared" si="419"/>
        <v>0</v>
      </c>
      <c r="F734" s="159">
        <f t="shared" si="419"/>
        <v>0</v>
      </c>
      <c r="G734" s="159">
        <f t="shared" si="419"/>
        <v>0</v>
      </c>
      <c r="H734" s="159">
        <f t="shared" si="419"/>
        <v>0</v>
      </c>
      <c r="I734" s="159">
        <f t="shared" si="419"/>
        <v>0</v>
      </c>
      <c r="J734" s="159">
        <f t="shared" si="419"/>
        <v>0</v>
      </c>
      <c r="K734" s="159">
        <f t="shared" si="419"/>
        <v>0</v>
      </c>
      <c r="L734" s="159">
        <f t="shared" si="419"/>
        <v>0</v>
      </c>
      <c r="M734" s="159">
        <f t="shared" si="419"/>
        <v>0</v>
      </c>
      <c r="N734" s="159">
        <f t="shared" si="419"/>
        <v>0</v>
      </c>
      <c r="O734" s="159">
        <f t="shared" si="419"/>
        <v>0</v>
      </c>
      <c r="P734" s="159">
        <f t="shared" si="419"/>
        <v>0</v>
      </c>
      <c r="Q734" s="159">
        <f t="shared" si="419"/>
        <v>0</v>
      </c>
      <c r="R734" s="159">
        <f t="shared" si="419"/>
        <v>0</v>
      </c>
      <c r="S734" s="159">
        <f t="shared" si="419"/>
        <v>0</v>
      </c>
      <c r="T734" s="159">
        <f t="shared" si="419"/>
        <v>0</v>
      </c>
      <c r="U734" s="159">
        <f t="shared" si="419"/>
        <v>0</v>
      </c>
      <c r="V734" s="159">
        <f t="shared" si="419"/>
        <v>0</v>
      </c>
      <c r="W734" s="159">
        <f t="shared" si="419"/>
        <v>0</v>
      </c>
      <c r="X734" s="159">
        <f t="shared" si="419"/>
        <v>0</v>
      </c>
      <c r="Y734" s="159">
        <f t="shared" si="419"/>
        <v>0</v>
      </c>
      <c r="Z734" s="159">
        <f t="shared" si="419"/>
        <v>0</v>
      </c>
      <c r="AA734" s="159">
        <f t="shared" si="419"/>
        <v>0</v>
      </c>
      <c r="AB734" s="159">
        <f t="shared" si="419"/>
        <v>0</v>
      </c>
      <c r="AC734" s="159">
        <f t="shared" si="419"/>
        <v>0</v>
      </c>
      <c r="AD734" s="159">
        <f t="shared" si="419"/>
        <v>0</v>
      </c>
      <c r="AE734" s="159">
        <f t="shared" si="419"/>
        <v>0</v>
      </c>
      <c r="AF734" s="159">
        <f t="shared" si="419"/>
        <v>0</v>
      </c>
      <c r="AG734" s="159">
        <f t="shared" si="419"/>
        <v>0</v>
      </c>
      <c r="AH734" s="159">
        <f t="shared" si="419"/>
        <v>0</v>
      </c>
      <c r="AI734" s="159">
        <f t="shared" si="419"/>
        <v>0</v>
      </c>
      <c r="AJ734" s="159">
        <f t="shared" si="419"/>
        <v>0</v>
      </c>
      <c r="AK734" s="159">
        <f t="shared" si="419"/>
        <v>0</v>
      </c>
      <c r="AL734" s="159">
        <f t="shared" si="419"/>
        <v>0</v>
      </c>
      <c r="AM734" s="159">
        <f t="shared" si="419"/>
        <v>0</v>
      </c>
      <c r="AN734" s="159">
        <f t="shared" si="419"/>
        <v>0</v>
      </c>
      <c r="AO734" s="159">
        <f t="shared" si="419"/>
        <v>0</v>
      </c>
      <c r="AP734" s="159">
        <f t="shared" si="419"/>
        <v>0</v>
      </c>
    </row>
    <row r="736" spans="1:42" x14ac:dyDescent="0.2">
      <c r="A736" s="20" t="s">
        <v>231</v>
      </c>
    </row>
    <row r="737" spans="1:42" x14ac:dyDescent="0.2">
      <c r="A737" s="4" t="s">
        <v>224</v>
      </c>
      <c r="B737" s="159">
        <v>0</v>
      </c>
      <c r="C737" s="159">
        <f>B740</f>
        <v>0</v>
      </c>
      <c r="D737" s="159">
        <f t="shared" ref="D737:AP737" si="420">C740</f>
        <v>0</v>
      </c>
      <c r="E737" s="159">
        <f t="shared" si="420"/>
        <v>0</v>
      </c>
      <c r="F737" s="159">
        <f t="shared" si="420"/>
        <v>0</v>
      </c>
      <c r="G737" s="159">
        <f t="shared" si="420"/>
        <v>0</v>
      </c>
      <c r="H737" s="159">
        <f t="shared" si="420"/>
        <v>0</v>
      </c>
      <c r="I737" s="159">
        <f t="shared" si="420"/>
        <v>0</v>
      </c>
      <c r="J737" s="159">
        <f t="shared" si="420"/>
        <v>0</v>
      </c>
      <c r="K737" s="159">
        <f t="shared" si="420"/>
        <v>0</v>
      </c>
      <c r="L737" s="159">
        <f t="shared" si="420"/>
        <v>0</v>
      </c>
      <c r="M737" s="159">
        <f t="shared" si="420"/>
        <v>0</v>
      </c>
      <c r="N737" s="159">
        <f t="shared" si="420"/>
        <v>0</v>
      </c>
      <c r="O737" s="159">
        <f t="shared" si="420"/>
        <v>0</v>
      </c>
      <c r="P737" s="159">
        <f t="shared" si="420"/>
        <v>0</v>
      </c>
      <c r="Q737" s="159">
        <f t="shared" si="420"/>
        <v>0</v>
      </c>
      <c r="R737" s="159">
        <f t="shared" si="420"/>
        <v>0</v>
      </c>
      <c r="S737" s="159">
        <f t="shared" si="420"/>
        <v>0</v>
      </c>
      <c r="T737" s="159">
        <f t="shared" si="420"/>
        <v>0</v>
      </c>
      <c r="U737" s="159">
        <f t="shared" si="420"/>
        <v>0</v>
      </c>
      <c r="V737" s="159">
        <f t="shared" si="420"/>
        <v>0</v>
      </c>
      <c r="W737" s="159">
        <f t="shared" si="420"/>
        <v>0</v>
      </c>
      <c r="X737" s="159">
        <f t="shared" si="420"/>
        <v>0</v>
      </c>
      <c r="Y737" s="159">
        <f t="shared" si="420"/>
        <v>0</v>
      </c>
      <c r="Z737" s="159">
        <f t="shared" si="420"/>
        <v>0</v>
      </c>
      <c r="AA737" s="159">
        <f t="shared" si="420"/>
        <v>0</v>
      </c>
      <c r="AB737" s="159">
        <f t="shared" si="420"/>
        <v>0</v>
      </c>
      <c r="AC737" s="159">
        <f t="shared" si="420"/>
        <v>0</v>
      </c>
      <c r="AD737" s="159">
        <f t="shared" si="420"/>
        <v>0</v>
      </c>
      <c r="AE737" s="159">
        <f t="shared" si="420"/>
        <v>0</v>
      </c>
      <c r="AF737" s="159">
        <f t="shared" si="420"/>
        <v>0</v>
      </c>
      <c r="AG737" s="159">
        <f t="shared" si="420"/>
        <v>0</v>
      </c>
      <c r="AH737" s="159">
        <f t="shared" si="420"/>
        <v>0</v>
      </c>
      <c r="AI737" s="159">
        <f t="shared" si="420"/>
        <v>0</v>
      </c>
      <c r="AJ737" s="159">
        <f t="shared" si="420"/>
        <v>0</v>
      </c>
      <c r="AK737" s="159">
        <f t="shared" si="420"/>
        <v>0</v>
      </c>
      <c r="AL737" s="159">
        <f t="shared" si="420"/>
        <v>0</v>
      </c>
      <c r="AM737" s="159">
        <f t="shared" si="420"/>
        <v>0</v>
      </c>
      <c r="AN737" s="159">
        <f t="shared" si="420"/>
        <v>0</v>
      </c>
      <c r="AO737" s="159">
        <f t="shared" si="420"/>
        <v>0</v>
      </c>
      <c r="AP737" s="159">
        <f t="shared" si="420"/>
        <v>0</v>
      </c>
    </row>
    <row r="738" spans="1:42" x14ac:dyDescent="0.2">
      <c r="A738" s="4" t="s">
        <v>60</v>
      </c>
      <c r="B738" s="159">
        <v>0</v>
      </c>
      <c r="C738" s="159">
        <f>C766</f>
        <v>0</v>
      </c>
      <c r="D738" s="159">
        <f t="shared" ref="D738:AP738" si="421">D766</f>
        <v>0</v>
      </c>
      <c r="E738" s="159">
        <f t="shared" si="421"/>
        <v>0</v>
      </c>
      <c r="F738" s="159">
        <f t="shared" si="421"/>
        <v>0</v>
      </c>
      <c r="G738" s="159">
        <f t="shared" si="421"/>
        <v>0</v>
      </c>
      <c r="H738" s="159">
        <f t="shared" si="421"/>
        <v>0</v>
      </c>
      <c r="I738" s="159">
        <f t="shared" si="421"/>
        <v>0</v>
      </c>
      <c r="J738" s="159">
        <f t="shared" si="421"/>
        <v>0</v>
      </c>
      <c r="K738" s="159">
        <f t="shared" si="421"/>
        <v>0</v>
      </c>
      <c r="L738" s="159">
        <f t="shared" si="421"/>
        <v>0</v>
      </c>
      <c r="M738" s="159">
        <f t="shared" si="421"/>
        <v>0</v>
      </c>
      <c r="N738" s="159">
        <f t="shared" si="421"/>
        <v>0</v>
      </c>
      <c r="O738" s="159">
        <f t="shared" si="421"/>
        <v>0</v>
      </c>
      <c r="P738" s="159">
        <f t="shared" si="421"/>
        <v>0</v>
      </c>
      <c r="Q738" s="159">
        <f t="shared" si="421"/>
        <v>0</v>
      </c>
      <c r="R738" s="159">
        <f t="shared" si="421"/>
        <v>0</v>
      </c>
      <c r="S738" s="159">
        <f t="shared" si="421"/>
        <v>0</v>
      </c>
      <c r="T738" s="159">
        <f t="shared" si="421"/>
        <v>0</v>
      </c>
      <c r="U738" s="159">
        <f t="shared" si="421"/>
        <v>0</v>
      </c>
      <c r="V738" s="159">
        <f t="shared" si="421"/>
        <v>0</v>
      </c>
      <c r="W738" s="159">
        <f t="shared" si="421"/>
        <v>0</v>
      </c>
      <c r="X738" s="159">
        <f t="shared" si="421"/>
        <v>0</v>
      </c>
      <c r="Y738" s="159">
        <f t="shared" si="421"/>
        <v>0</v>
      </c>
      <c r="Z738" s="159">
        <f t="shared" si="421"/>
        <v>0</v>
      </c>
      <c r="AA738" s="159">
        <f t="shared" si="421"/>
        <v>0</v>
      </c>
      <c r="AB738" s="159">
        <f t="shared" si="421"/>
        <v>0</v>
      </c>
      <c r="AC738" s="159">
        <f t="shared" si="421"/>
        <v>0</v>
      </c>
      <c r="AD738" s="159">
        <f t="shared" si="421"/>
        <v>0</v>
      </c>
      <c r="AE738" s="159">
        <f t="shared" si="421"/>
        <v>0</v>
      </c>
      <c r="AF738" s="159">
        <f t="shared" si="421"/>
        <v>0</v>
      </c>
      <c r="AG738" s="159">
        <f t="shared" si="421"/>
        <v>0</v>
      </c>
      <c r="AH738" s="159">
        <f t="shared" si="421"/>
        <v>0</v>
      </c>
      <c r="AI738" s="159">
        <f t="shared" si="421"/>
        <v>0</v>
      </c>
      <c r="AJ738" s="159">
        <f t="shared" si="421"/>
        <v>0</v>
      </c>
      <c r="AK738" s="159">
        <f t="shared" si="421"/>
        <v>0</v>
      </c>
      <c r="AL738" s="159">
        <f t="shared" si="421"/>
        <v>0</v>
      </c>
      <c r="AM738" s="159">
        <f t="shared" si="421"/>
        <v>0</v>
      </c>
      <c r="AN738" s="159">
        <f t="shared" si="421"/>
        <v>0</v>
      </c>
      <c r="AO738" s="159">
        <f t="shared" si="421"/>
        <v>0</v>
      </c>
      <c r="AP738" s="159">
        <f t="shared" si="421"/>
        <v>0</v>
      </c>
    </row>
    <row r="739" spans="1:42" x14ac:dyDescent="0.2">
      <c r="A739" s="4" t="s">
        <v>225</v>
      </c>
      <c r="B739" s="160">
        <v>0</v>
      </c>
      <c r="C739" s="160">
        <f>-C754</f>
        <v>0</v>
      </c>
      <c r="D739" s="160">
        <f t="shared" ref="D739:AP739" si="422">-D754</f>
        <v>0</v>
      </c>
      <c r="E739" s="160">
        <f t="shared" si="422"/>
        <v>0</v>
      </c>
      <c r="F739" s="160">
        <f t="shared" si="422"/>
        <v>0</v>
      </c>
      <c r="G739" s="160">
        <f t="shared" si="422"/>
        <v>0</v>
      </c>
      <c r="H739" s="160">
        <f t="shared" si="422"/>
        <v>0</v>
      </c>
      <c r="I739" s="160">
        <f t="shared" si="422"/>
        <v>0</v>
      </c>
      <c r="J739" s="160">
        <f t="shared" si="422"/>
        <v>0</v>
      </c>
      <c r="K739" s="160">
        <f t="shared" si="422"/>
        <v>0</v>
      </c>
      <c r="L739" s="160">
        <f t="shared" si="422"/>
        <v>0</v>
      </c>
      <c r="M739" s="160">
        <f t="shared" si="422"/>
        <v>0</v>
      </c>
      <c r="N739" s="160">
        <f t="shared" si="422"/>
        <v>0</v>
      </c>
      <c r="O739" s="160">
        <f t="shared" si="422"/>
        <v>0</v>
      </c>
      <c r="P739" s="160">
        <f t="shared" si="422"/>
        <v>0</v>
      </c>
      <c r="Q739" s="160">
        <f t="shared" si="422"/>
        <v>0</v>
      </c>
      <c r="R739" s="160">
        <f t="shared" si="422"/>
        <v>0</v>
      </c>
      <c r="S739" s="160">
        <f t="shared" si="422"/>
        <v>0</v>
      </c>
      <c r="T739" s="160">
        <f t="shared" si="422"/>
        <v>0</v>
      </c>
      <c r="U739" s="160">
        <f t="shared" si="422"/>
        <v>0</v>
      </c>
      <c r="V739" s="160">
        <f t="shared" si="422"/>
        <v>0</v>
      </c>
      <c r="W739" s="160">
        <f t="shared" si="422"/>
        <v>0</v>
      </c>
      <c r="X739" s="160">
        <f t="shared" si="422"/>
        <v>0</v>
      </c>
      <c r="Y739" s="160">
        <f t="shared" si="422"/>
        <v>0</v>
      </c>
      <c r="Z739" s="160">
        <f t="shared" si="422"/>
        <v>0</v>
      </c>
      <c r="AA739" s="160">
        <f t="shared" si="422"/>
        <v>0</v>
      </c>
      <c r="AB739" s="160">
        <f t="shared" si="422"/>
        <v>0</v>
      </c>
      <c r="AC739" s="160">
        <f t="shared" si="422"/>
        <v>0</v>
      </c>
      <c r="AD739" s="160">
        <f t="shared" si="422"/>
        <v>0</v>
      </c>
      <c r="AE739" s="160">
        <f t="shared" si="422"/>
        <v>0</v>
      </c>
      <c r="AF739" s="160">
        <f t="shared" si="422"/>
        <v>0</v>
      </c>
      <c r="AG739" s="160">
        <f t="shared" si="422"/>
        <v>0</v>
      </c>
      <c r="AH739" s="160">
        <f t="shared" si="422"/>
        <v>0</v>
      </c>
      <c r="AI739" s="160">
        <f t="shared" si="422"/>
        <v>0</v>
      </c>
      <c r="AJ739" s="160">
        <f t="shared" si="422"/>
        <v>0</v>
      </c>
      <c r="AK739" s="160">
        <f t="shared" si="422"/>
        <v>0</v>
      </c>
      <c r="AL739" s="160">
        <f t="shared" si="422"/>
        <v>0</v>
      </c>
      <c r="AM739" s="160">
        <f t="shared" si="422"/>
        <v>0</v>
      </c>
      <c r="AN739" s="160">
        <f t="shared" si="422"/>
        <v>0</v>
      </c>
      <c r="AO739" s="160">
        <f t="shared" si="422"/>
        <v>0</v>
      </c>
      <c r="AP739" s="160">
        <f t="shared" si="422"/>
        <v>0</v>
      </c>
    </row>
    <row r="740" spans="1:42" x14ac:dyDescent="0.2">
      <c r="A740" s="4" t="s">
        <v>214</v>
      </c>
      <c r="B740" s="159">
        <f>SUM(B737:B739)</f>
        <v>0</v>
      </c>
      <c r="C740" s="159">
        <f>SUM(C737:C739)</f>
        <v>0</v>
      </c>
      <c r="D740" s="159">
        <f t="shared" ref="D740:AP740" si="423">SUM(D737:D739)</f>
        <v>0</v>
      </c>
      <c r="E740" s="159">
        <f t="shared" si="423"/>
        <v>0</v>
      </c>
      <c r="F740" s="159">
        <f t="shared" si="423"/>
        <v>0</v>
      </c>
      <c r="G740" s="159">
        <f t="shared" si="423"/>
        <v>0</v>
      </c>
      <c r="H740" s="159">
        <f t="shared" si="423"/>
        <v>0</v>
      </c>
      <c r="I740" s="159">
        <f t="shared" si="423"/>
        <v>0</v>
      </c>
      <c r="J740" s="159">
        <f t="shared" si="423"/>
        <v>0</v>
      </c>
      <c r="K740" s="159">
        <f t="shared" si="423"/>
        <v>0</v>
      </c>
      <c r="L740" s="159">
        <f t="shared" si="423"/>
        <v>0</v>
      </c>
      <c r="M740" s="159">
        <f t="shared" si="423"/>
        <v>0</v>
      </c>
      <c r="N740" s="159">
        <f t="shared" si="423"/>
        <v>0</v>
      </c>
      <c r="O740" s="159">
        <f t="shared" si="423"/>
        <v>0</v>
      </c>
      <c r="P740" s="159">
        <f t="shared" si="423"/>
        <v>0</v>
      </c>
      <c r="Q740" s="159">
        <f t="shared" si="423"/>
        <v>0</v>
      </c>
      <c r="R740" s="159">
        <f t="shared" si="423"/>
        <v>0</v>
      </c>
      <c r="S740" s="159">
        <f t="shared" si="423"/>
        <v>0</v>
      </c>
      <c r="T740" s="159">
        <f t="shared" si="423"/>
        <v>0</v>
      </c>
      <c r="U740" s="159">
        <f t="shared" si="423"/>
        <v>0</v>
      </c>
      <c r="V740" s="159">
        <f t="shared" si="423"/>
        <v>0</v>
      </c>
      <c r="W740" s="159">
        <f t="shared" si="423"/>
        <v>0</v>
      </c>
      <c r="X740" s="159">
        <f t="shared" si="423"/>
        <v>0</v>
      </c>
      <c r="Y740" s="159">
        <f t="shared" si="423"/>
        <v>0</v>
      </c>
      <c r="Z740" s="159">
        <f t="shared" si="423"/>
        <v>0</v>
      </c>
      <c r="AA740" s="159">
        <f t="shared" si="423"/>
        <v>0</v>
      </c>
      <c r="AB740" s="159">
        <f t="shared" si="423"/>
        <v>0</v>
      </c>
      <c r="AC740" s="159">
        <f t="shared" si="423"/>
        <v>0</v>
      </c>
      <c r="AD740" s="159">
        <f t="shared" si="423"/>
        <v>0</v>
      </c>
      <c r="AE740" s="159">
        <f t="shared" si="423"/>
        <v>0</v>
      </c>
      <c r="AF740" s="159">
        <f t="shared" si="423"/>
        <v>0</v>
      </c>
      <c r="AG740" s="159">
        <f t="shared" si="423"/>
        <v>0</v>
      </c>
      <c r="AH740" s="159">
        <f t="shared" si="423"/>
        <v>0</v>
      </c>
      <c r="AI740" s="159">
        <f t="shared" si="423"/>
        <v>0</v>
      </c>
      <c r="AJ740" s="159">
        <f t="shared" si="423"/>
        <v>0</v>
      </c>
      <c r="AK740" s="159">
        <f t="shared" si="423"/>
        <v>0</v>
      </c>
      <c r="AL740" s="159">
        <f t="shared" si="423"/>
        <v>0</v>
      </c>
      <c r="AM740" s="159">
        <f t="shared" si="423"/>
        <v>0</v>
      </c>
      <c r="AN740" s="159">
        <f t="shared" si="423"/>
        <v>0</v>
      </c>
      <c r="AO740" s="159">
        <f t="shared" si="423"/>
        <v>0</v>
      </c>
      <c r="AP740" s="159">
        <f t="shared" si="423"/>
        <v>0</v>
      </c>
    </row>
    <row r="742" spans="1:42" x14ac:dyDescent="0.2">
      <c r="A742" s="4" t="s">
        <v>227</v>
      </c>
    </row>
    <row r="743" spans="1:42" x14ac:dyDescent="0.2">
      <c r="A743" s="4" t="s">
        <v>228</v>
      </c>
    </row>
    <row r="744" spans="1:42" x14ac:dyDescent="0.2">
      <c r="A744" s="4">
        <v>1</v>
      </c>
      <c r="B744" s="181">
        <f t="shared" ref="B744:B753" si="424">SUM(C744:AP744)</f>
        <v>0</v>
      </c>
      <c r="C744" s="159">
        <f t="shared" ref="C744:AP744" si="425">IF(C$2&gt;analysis_period,0,IF(C$2=equip3_reserve_freq*$A744,equip3_reserve_cost*system_capacity*1000*(1+inflation_rate/100)^B$2,0))</f>
        <v>0</v>
      </c>
      <c r="D744" s="159">
        <f t="shared" si="425"/>
        <v>0</v>
      </c>
      <c r="E744" s="159">
        <f t="shared" si="425"/>
        <v>0</v>
      </c>
      <c r="F744" s="159">
        <f t="shared" si="425"/>
        <v>0</v>
      </c>
      <c r="G744" s="159">
        <f t="shared" si="425"/>
        <v>0</v>
      </c>
      <c r="H744" s="159">
        <f t="shared" si="425"/>
        <v>0</v>
      </c>
      <c r="I744" s="159">
        <f t="shared" si="425"/>
        <v>0</v>
      </c>
      <c r="J744" s="159">
        <f t="shared" si="425"/>
        <v>0</v>
      </c>
      <c r="K744" s="159">
        <f t="shared" si="425"/>
        <v>0</v>
      </c>
      <c r="L744" s="159">
        <f t="shared" si="425"/>
        <v>0</v>
      </c>
      <c r="M744" s="159">
        <f t="shared" si="425"/>
        <v>0</v>
      </c>
      <c r="N744" s="159">
        <f t="shared" si="425"/>
        <v>0</v>
      </c>
      <c r="O744" s="159">
        <f t="shared" si="425"/>
        <v>0</v>
      </c>
      <c r="P744" s="159">
        <f t="shared" si="425"/>
        <v>0</v>
      </c>
      <c r="Q744" s="159">
        <f t="shared" si="425"/>
        <v>0</v>
      </c>
      <c r="R744" s="159">
        <f t="shared" si="425"/>
        <v>0</v>
      </c>
      <c r="S744" s="159">
        <f t="shared" si="425"/>
        <v>0</v>
      </c>
      <c r="T744" s="159">
        <f t="shared" si="425"/>
        <v>0</v>
      </c>
      <c r="U744" s="159">
        <f t="shared" si="425"/>
        <v>0</v>
      </c>
      <c r="V744" s="159">
        <f t="shared" si="425"/>
        <v>0</v>
      </c>
      <c r="W744" s="159">
        <f t="shared" si="425"/>
        <v>0</v>
      </c>
      <c r="X744" s="159">
        <f t="shared" si="425"/>
        <v>0</v>
      </c>
      <c r="Y744" s="159">
        <f t="shared" si="425"/>
        <v>0</v>
      </c>
      <c r="Z744" s="159">
        <f t="shared" si="425"/>
        <v>0</v>
      </c>
      <c r="AA744" s="159">
        <f t="shared" si="425"/>
        <v>0</v>
      </c>
      <c r="AB744" s="159">
        <f t="shared" si="425"/>
        <v>0</v>
      </c>
      <c r="AC744" s="159">
        <f t="shared" si="425"/>
        <v>0</v>
      </c>
      <c r="AD744" s="159">
        <f t="shared" si="425"/>
        <v>0</v>
      </c>
      <c r="AE744" s="159">
        <f t="shared" si="425"/>
        <v>0</v>
      </c>
      <c r="AF744" s="159">
        <f t="shared" si="425"/>
        <v>0</v>
      </c>
      <c r="AG744" s="159">
        <f t="shared" si="425"/>
        <v>0</v>
      </c>
      <c r="AH744" s="159">
        <f t="shared" si="425"/>
        <v>0</v>
      </c>
      <c r="AI744" s="159">
        <f t="shared" si="425"/>
        <v>0</v>
      </c>
      <c r="AJ744" s="159">
        <f t="shared" si="425"/>
        <v>0</v>
      </c>
      <c r="AK744" s="159">
        <f t="shared" si="425"/>
        <v>0</v>
      </c>
      <c r="AL744" s="159">
        <f t="shared" si="425"/>
        <v>0</v>
      </c>
      <c r="AM744" s="159">
        <f t="shared" si="425"/>
        <v>0</v>
      </c>
      <c r="AN744" s="159">
        <f t="shared" si="425"/>
        <v>0</v>
      </c>
      <c r="AO744" s="159">
        <f t="shared" si="425"/>
        <v>0</v>
      </c>
      <c r="AP744" s="159">
        <f t="shared" si="425"/>
        <v>0</v>
      </c>
    </row>
    <row r="745" spans="1:42" x14ac:dyDescent="0.2">
      <c r="A745" s="4">
        <f>A744+1</f>
        <v>2</v>
      </c>
      <c r="B745" s="181">
        <f t="shared" si="424"/>
        <v>0</v>
      </c>
      <c r="C745" s="159">
        <f t="shared" ref="C745:AP745" si="426">IF(C$2&gt;analysis_period,0,IF(C$2=equip3_reserve_freq*$A745,equip3_reserve_cost*system_capacity*1000*(1+inflation_rate/100)^B$2,0))</f>
        <v>0</v>
      </c>
      <c r="D745" s="159">
        <f t="shared" si="426"/>
        <v>0</v>
      </c>
      <c r="E745" s="159">
        <f t="shared" si="426"/>
        <v>0</v>
      </c>
      <c r="F745" s="159">
        <f t="shared" si="426"/>
        <v>0</v>
      </c>
      <c r="G745" s="159">
        <f t="shared" si="426"/>
        <v>0</v>
      </c>
      <c r="H745" s="159">
        <f t="shared" si="426"/>
        <v>0</v>
      </c>
      <c r="I745" s="159">
        <f t="shared" si="426"/>
        <v>0</v>
      </c>
      <c r="J745" s="159">
        <f t="shared" si="426"/>
        <v>0</v>
      </c>
      <c r="K745" s="159">
        <f t="shared" si="426"/>
        <v>0</v>
      </c>
      <c r="L745" s="159">
        <f t="shared" si="426"/>
        <v>0</v>
      </c>
      <c r="M745" s="159">
        <f t="shared" si="426"/>
        <v>0</v>
      </c>
      <c r="N745" s="159">
        <f t="shared" si="426"/>
        <v>0</v>
      </c>
      <c r="O745" s="159">
        <f t="shared" si="426"/>
        <v>0</v>
      </c>
      <c r="P745" s="159">
        <f t="shared" si="426"/>
        <v>0</v>
      </c>
      <c r="Q745" s="159">
        <f t="shared" si="426"/>
        <v>0</v>
      </c>
      <c r="R745" s="159">
        <f t="shared" si="426"/>
        <v>0</v>
      </c>
      <c r="S745" s="159">
        <f t="shared" si="426"/>
        <v>0</v>
      </c>
      <c r="T745" s="159">
        <f t="shared" si="426"/>
        <v>0</v>
      </c>
      <c r="U745" s="159">
        <f t="shared" si="426"/>
        <v>0</v>
      </c>
      <c r="V745" s="159">
        <f t="shared" si="426"/>
        <v>0</v>
      </c>
      <c r="W745" s="159">
        <f t="shared" si="426"/>
        <v>0</v>
      </c>
      <c r="X745" s="159">
        <f t="shared" si="426"/>
        <v>0</v>
      </c>
      <c r="Y745" s="159">
        <f t="shared" si="426"/>
        <v>0</v>
      </c>
      <c r="Z745" s="159">
        <f t="shared" si="426"/>
        <v>0</v>
      </c>
      <c r="AA745" s="159">
        <f t="shared" si="426"/>
        <v>0</v>
      </c>
      <c r="AB745" s="159">
        <f t="shared" si="426"/>
        <v>0</v>
      </c>
      <c r="AC745" s="159">
        <f t="shared" si="426"/>
        <v>0</v>
      </c>
      <c r="AD745" s="159">
        <f t="shared" si="426"/>
        <v>0</v>
      </c>
      <c r="AE745" s="159">
        <f t="shared" si="426"/>
        <v>0</v>
      </c>
      <c r="AF745" s="159">
        <f t="shared" si="426"/>
        <v>0</v>
      </c>
      <c r="AG745" s="159">
        <f t="shared" si="426"/>
        <v>0</v>
      </c>
      <c r="AH745" s="159">
        <f t="shared" si="426"/>
        <v>0</v>
      </c>
      <c r="AI745" s="159">
        <f t="shared" si="426"/>
        <v>0</v>
      </c>
      <c r="AJ745" s="159">
        <f t="shared" si="426"/>
        <v>0</v>
      </c>
      <c r="AK745" s="159">
        <f t="shared" si="426"/>
        <v>0</v>
      </c>
      <c r="AL745" s="159">
        <f t="shared" si="426"/>
        <v>0</v>
      </c>
      <c r="AM745" s="159">
        <f t="shared" si="426"/>
        <v>0</v>
      </c>
      <c r="AN745" s="159">
        <f t="shared" si="426"/>
        <v>0</v>
      </c>
      <c r="AO745" s="159">
        <f t="shared" si="426"/>
        <v>0</v>
      </c>
      <c r="AP745" s="159">
        <f t="shared" si="426"/>
        <v>0</v>
      </c>
    </row>
    <row r="746" spans="1:42" x14ac:dyDescent="0.2">
      <c r="A746" s="4">
        <f t="shared" ref="A746:A753" si="427">A745+1</f>
        <v>3</v>
      </c>
      <c r="B746" s="181">
        <f t="shared" si="424"/>
        <v>0</v>
      </c>
      <c r="C746" s="159">
        <f t="shared" ref="C746:AP746" si="428">IF(C$2&gt;analysis_period,0,IF(C$2=equip3_reserve_freq*$A746,equip3_reserve_cost*system_capacity*1000*(1+inflation_rate/100)^B$2,0))</f>
        <v>0</v>
      </c>
      <c r="D746" s="159">
        <f t="shared" si="428"/>
        <v>0</v>
      </c>
      <c r="E746" s="159">
        <f t="shared" si="428"/>
        <v>0</v>
      </c>
      <c r="F746" s="159">
        <f t="shared" si="428"/>
        <v>0</v>
      </c>
      <c r="G746" s="159">
        <f t="shared" si="428"/>
        <v>0</v>
      </c>
      <c r="H746" s="159">
        <f t="shared" si="428"/>
        <v>0</v>
      </c>
      <c r="I746" s="159">
        <f t="shared" si="428"/>
        <v>0</v>
      </c>
      <c r="J746" s="159">
        <f t="shared" si="428"/>
        <v>0</v>
      </c>
      <c r="K746" s="159">
        <f t="shared" si="428"/>
        <v>0</v>
      </c>
      <c r="L746" s="159">
        <f t="shared" si="428"/>
        <v>0</v>
      </c>
      <c r="M746" s="159">
        <f t="shared" si="428"/>
        <v>0</v>
      </c>
      <c r="N746" s="159">
        <f t="shared" si="428"/>
        <v>0</v>
      </c>
      <c r="O746" s="159">
        <f t="shared" si="428"/>
        <v>0</v>
      </c>
      <c r="P746" s="159">
        <f t="shared" si="428"/>
        <v>0</v>
      </c>
      <c r="Q746" s="159">
        <f t="shared" si="428"/>
        <v>0</v>
      </c>
      <c r="R746" s="159">
        <f t="shared" si="428"/>
        <v>0</v>
      </c>
      <c r="S746" s="159">
        <f t="shared" si="428"/>
        <v>0</v>
      </c>
      <c r="T746" s="159">
        <f t="shared" si="428"/>
        <v>0</v>
      </c>
      <c r="U746" s="159">
        <f t="shared" si="428"/>
        <v>0</v>
      </c>
      <c r="V746" s="159">
        <f t="shared" si="428"/>
        <v>0</v>
      </c>
      <c r="W746" s="159">
        <f t="shared" si="428"/>
        <v>0</v>
      </c>
      <c r="X746" s="159">
        <f t="shared" si="428"/>
        <v>0</v>
      </c>
      <c r="Y746" s="159">
        <f t="shared" si="428"/>
        <v>0</v>
      </c>
      <c r="Z746" s="159">
        <f t="shared" si="428"/>
        <v>0</v>
      </c>
      <c r="AA746" s="159">
        <f t="shared" si="428"/>
        <v>0</v>
      </c>
      <c r="AB746" s="159">
        <f t="shared" si="428"/>
        <v>0</v>
      </c>
      <c r="AC746" s="159">
        <f t="shared" si="428"/>
        <v>0</v>
      </c>
      <c r="AD746" s="159">
        <f t="shared" si="428"/>
        <v>0</v>
      </c>
      <c r="AE746" s="159">
        <f t="shared" si="428"/>
        <v>0</v>
      </c>
      <c r="AF746" s="159">
        <f t="shared" si="428"/>
        <v>0</v>
      </c>
      <c r="AG746" s="159">
        <f t="shared" si="428"/>
        <v>0</v>
      </c>
      <c r="AH746" s="159">
        <f t="shared" si="428"/>
        <v>0</v>
      </c>
      <c r="AI746" s="159">
        <f t="shared" si="428"/>
        <v>0</v>
      </c>
      <c r="AJ746" s="159">
        <f t="shared" si="428"/>
        <v>0</v>
      </c>
      <c r="AK746" s="159">
        <f t="shared" si="428"/>
        <v>0</v>
      </c>
      <c r="AL746" s="159">
        <f t="shared" si="428"/>
        <v>0</v>
      </c>
      <c r="AM746" s="159">
        <f t="shared" si="428"/>
        <v>0</v>
      </c>
      <c r="AN746" s="159">
        <f t="shared" si="428"/>
        <v>0</v>
      </c>
      <c r="AO746" s="159">
        <f t="shared" si="428"/>
        <v>0</v>
      </c>
      <c r="AP746" s="159">
        <f t="shared" si="428"/>
        <v>0</v>
      </c>
    </row>
    <row r="747" spans="1:42" x14ac:dyDescent="0.2">
      <c r="A747" s="4">
        <f t="shared" si="427"/>
        <v>4</v>
      </c>
      <c r="B747" s="181">
        <f t="shared" si="424"/>
        <v>0</v>
      </c>
      <c r="C747" s="159">
        <f t="shared" ref="C747:AP747" si="429">IF(C$2&gt;analysis_period,0,IF(C$2=equip3_reserve_freq*$A747,equip3_reserve_cost*system_capacity*1000*(1+inflation_rate/100)^B$2,0))</f>
        <v>0</v>
      </c>
      <c r="D747" s="159">
        <f t="shared" si="429"/>
        <v>0</v>
      </c>
      <c r="E747" s="159">
        <f t="shared" si="429"/>
        <v>0</v>
      </c>
      <c r="F747" s="159">
        <f t="shared" si="429"/>
        <v>0</v>
      </c>
      <c r="G747" s="159">
        <f t="shared" si="429"/>
        <v>0</v>
      </c>
      <c r="H747" s="159">
        <f t="shared" si="429"/>
        <v>0</v>
      </c>
      <c r="I747" s="159">
        <f t="shared" si="429"/>
        <v>0</v>
      </c>
      <c r="J747" s="159">
        <f t="shared" si="429"/>
        <v>0</v>
      </c>
      <c r="K747" s="159">
        <f t="shared" si="429"/>
        <v>0</v>
      </c>
      <c r="L747" s="159">
        <f t="shared" si="429"/>
        <v>0</v>
      </c>
      <c r="M747" s="159">
        <f t="shared" si="429"/>
        <v>0</v>
      </c>
      <c r="N747" s="159">
        <f t="shared" si="429"/>
        <v>0</v>
      </c>
      <c r="O747" s="159">
        <f t="shared" si="429"/>
        <v>0</v>
      </c>
      <c r="P747" s="159">
        <f t="shared" si="429"/>
        <v>0</v>
      </c>
      <c r="Q747" s="159">
        <f t="shared" si="429"/>
        <v>0</v>
      </c>
      <c r="R747" s="159">
        <f t="shared" si="429"/>
        <v>0</v>
      </c>
      <c r="S747" s="159">
        <f t="shared" si="429"/>
        <v>0</v>
      </c>
      <c r="T747" s="159">
        <f t="shared" si="429"/>
        <v>0</v>
      </c>
      <c r="U747" s="159">
        <f t="shared" si="429"/>
        <v>0</v>
      </c>
      <c r="V747" s="159">
        <f t="shared" si="429"/>
        <v>0</v>
      </c>
      <c r="W747" s="159">
        <f t="shared" si="429"/>
        <v>0</v>
      </c>
      <c r="X747" s="159">
        <f t="shared" si="429"/>
        <v>0</v>
      </c>
      <c r="Y747" s="159">
        <f t="shared" si="429"/>
        <v>0</v>
      </c>
      <c r="Z747" s="159">
        <f t="shared" si="429"/>
        <v>0</v>
      </c>
      <c r="AA747" s="159">
        <f t="shared" si="429"/>
        <v>0</v>
      </c>
      <c r="AB747" s="159">
        <f t="shared" si="429"/>
        <v>0</v>
      </c>
      <c r="AC747" s="159">
        <f t="shared" si="429"/>
        <v>0</v>
      </c>
      <c r="AD747" s="159">
        <f t="shared" si="429"/>
        <v>0</v>
      </c>
      <c r="AE747" s="159">
        <f t="shared" si="429"/>
        <v>0</v>
      </c>
      <c r="AF747" s="159">
        <f t="shared" si="429"/>
        <v>0</v>
      </c>
      <c r="AG747" s="159">
        <f t="shared" si="429"/>
        <v>0</v>
      </c>
      <c r="AH747" s="159">
        <f t="shared" si="429"/>
        <v>0</v>
      </c>
      <c r="AI747" s="159">
        <f t="shared" si="429"/>
        <v>0</v>
      </c>
      <c r="AJ747" s="159">
        <f t="shared" si="429"/>
        <v>0</v>
      </c>
      <c r="AK747" s="159">
        <f t="shared" si="429"/>
        <v>0</v>
      </c>
      <c r="AL747" s="159">
        <f t="shared" si="429"/>
        <v>0</v>
      </c>
      <c r="AM747" s="159">
        <f t="shared" si="429"/>
        <v>0</v>
      </c>
      <c r="AN747" s="159">
        <f t="shared" si="429"/>
        <v>0</v>
      </c>
      <c r="AO747" s="159">
        <f t="shared" si="429"/>
        <v>0</v>
      </c>
      <c r="AP747" s="159">
        <f t="shared" si="429"/>
        <v>0</v>
      </c>
    </row>
    <row r="748" spans="1:42" x14ac:dyDescent="0.2">
      <c r="A748" s="4">
        <f t="shared" si="427"/>
        <v>5</v>
      </c>
      <c r="B748" s="181">
        <f t="shared" si="424"/>
        <v>0</v>
      </c>
      <c r="C748" s="159">
        <f t="shared" ref="C748:AP748" si="430">IF(C$2&gt;analysis_period,0,IF(C$2=equip3_reserve_freq*$A748,equip3_reserve_cost*system_capacity*1000*(1+inflation_rate/100)^B$2,0))</f>
        <v>0</v>
      </c>
      <c r="D748" s="159">
        <f t="shared" si="430"/>
        <v>0</v>
      </c>
      <c r="E748" s="159">
        <f t="shared" si="430"/>
        <v>0</v>
      </c>
      <c r="F748" s="159">
        <f t="shared" si="430"/>
        <v>0</v>
      </c>
      <c r="G748" s="159">
        <f t="shared" si="430"/>
        <v>0</v>
      </c>
      <c r="H748" s="159">
        <f t="shared" si="430"/>
        <v>0</v>
      </c>
      <c r="I748" s="159">
        <f t="shared" si="430"/>
        <v>0</v>
      </c>
      <c r="J748" s="159">
        <f t="shared" si="430"/>
        <v>0</v>
      </c>
      <c r="K748" s="159">
        <f t="shared" si="430"/>
        <v>0</v>
      </c>
      <c r="L748" s="159">
        <f t="shared" si="430"/>
        <v>0</v>
      </c>
      <c r="M748" s="159">
        <f t="shared" si="430"/>
        <v>0</v>
      </c>
      <c r="N748" s="159">
        <f t="shared" si="430"/>
        <v>0</v>
      </c>
      <c r="O748" s="159">
        <f t="shared" si="430"/>
        <v>0</v>
      </c>
      <c r="P748" s="159">
        <f t="shared" si="430"/>
        <v>0</v>
      </c>
      <c r="Q748" s="159">
        <f t="shared" si="430"/>
        <v>0</v>
      </c>
      <c r="R748" s="159">
        <f t="shared" si="430"/>
        <v>0</v>
      </c>
      <c r="S748" s="159">
        <f t="shared" si="430"/>
        <v>0</v>
      </c>
      <c r="T748" s="159">
        <f t="shared" si="430"/>
        <v>0</v>
      </c>
      <c r="U748" s="159">
        <f t="shared" si="430"/>
        <v>0</v>
      </c>
      <c r="V748" s="159">
        <f t="shared" si="430"/>
        <v>0</v>
      </c>
      <c r="W748" s="159">
        <f t="shared" si="430"/>
        <v>0</v>
      </c>
      <c r="X748" s="159">
        <f t="shared" si="430"/>
        <v>0</v>
      </c>
      <c r="Y748" s="159">
        <f t="shared" si="430"/>
        <v>0</v>
      </c>
      <c r="Z748" s="159">
        <f t="shared" si="430"/>
        <v>0</v>
      </c>
      <c r="AA748" s="159">
        <f t="shared" si="430"/>
        <v>0</v>
      </c>
      <c r="AB748" s="159">
        <f t="shared" si="430"/>
        <v>0</v>
      </c>
      <c r="AC748" s="159">
        <f t="shared" si="430"/>
        <v>0</v>
      </c>
      <c r="AD748" s="159">
        <f t="shared" si="430"/>
        <v>0</v>
      </c>
      <c r="AE748" s="159">
        <f t="shared" si="430"/>
        <v>0</v>
      </c>
      <c r="AF748" s="159">
        <f t="shared" si="430"/>
        <v>0</v>
      </c>
      <c r="AG748" s="159">
        <f t="shared" si="430"/>
        <v>0</v>
      </c>
      <c r="AH748" s="159">
        <f t="shared" si="430"/>
        <v>0</v>
      </c>
      <c r="AI748" s="159">
        <f t="shared" si="430"/>
        <v>0</v>
      </c>
      <c r="AJ748" s="159">
        <f t="shared" si="430"/>
        <v>0</v>
      </c>
      <c r="AK748" s="159">
        <f t="shared" si="430"/>
        <v>0</v>
      </c>
      <c r="AL748" s="159">
        <f t="shared" si="430"/>
        <v>0</v>
      </c>
      <c r="AM748" s="159">
        <f t="shared" si="430"/>
        <v>0</v>
      </c>
      <c r="AN748" s="159">
        <f t="shared" si="430"/>
        <v>0</v>
      </c>
      <c r="AO748" s="159">
        <f t="shared" si="430"/>
        <v>0</v>
      </c>
      <c r="AP748" s="159">
        <f t="shared" si="430"/>
        <v>0</v>
      </c>
    </row>
    <row r="749" spans="1:42" x14ac:dyDescent="0.2">
      <c r="A749" s="4">
        <f t="shared" si="427"/>
        <v>6</v>
      </c>
      <c r="B749" s="181">
        <f t="shared" si="424"/>
        <v>0</v>
      </c>
      <c r="C749" s="159">
        <f t="shared" ref="C749:AP749" si="431">IF(C$2&gt;analysis_period,0,IF(C$2=equip3_reserve_freq*$A749,equip3_reserve_cost*system_capacity*1000*(1+inflation_rate/100)^B$2,0))</f>
        <v>0</v>
      </c>
      <c r="D749" s="159">
        <f t="shared" si="431"/>
        <v>0</v>
      </c>
      <c r="E749" s="159">
        <f t="shared" si="431"/>
        <v>0</v>
      </c>
      <c r="F749" s="159">
        <f t="shared" si="431"/>
        <v>0</v>
      </c>
      <c r="G749" s="159">
        <f t="shared" si="431"/>
        <v>0</v>
      </c>
      <c r="H749" s="159">
        <f t="shared" si="431"/>
        <v>0</v>
      </c>
      <c r="I749" s="159">
        <f t="shared" si="431"/>
        <v>0</v>
      </c>
      <c r="J749" s="159">
        <f t="shared" si="431"/>
        <v>0</v>
      </c>
      <c r="K749" s="159">
        <f t="shared" si="431"/>
        <v>0</v>
      </c>
      <c r="L749" s="159">
        <f t="shared" si="431"/>
        <v>0</v>
      </c>
      <c r="M749" s="159">
        <f t="shared" si="431"/>
        <v>0</v>
      </c>
      <c r="N749" s="159">
        <f t="shared" si="431"/>
        <v>0</v>
      </c>
      <c r="O749" s="159">
        <f t="shared" si="431"/>
        <v>0</v>
      </c>
      <c r="P749" s="159">
        <f t="shared" si="431"/>
        <v>0</v>
      </c>
      <c r="Q749" s="159">
        <f t="shared" si="431"/>
        <v>0</v>
      </c>
      <c r="R749" s="159">
        <f t="shared" si="431"/>
        <v>0</v>
      </c>
      <c r="S749" s="159">
        <f t="shared" si="431"/>
        <v>0</v>
      </c>
      <c r="T749" s="159">
        <f t="shared" si="431"/>
        <v>0</v>
      </c>
      <c r="U749" s="159">
        <f t="shared" si="431"/>
        <v>0</v>
      </c>
      <c r="V749" s="159">
        <f t="shared" si="431"/>
        <v>0</v>
      </c>
      <c r="W749" s="159">
        <f t="shared" si="431"/>
        <v>0</v>
      </c>
      <c r="X749" s="159">
        <f t="shared" si="431"/>
        <v>0</v>
      </c>
      <c r="Y749" s="159">
        <f t="shared" si="431"/>
        <v>0</v>
      </c>
      <c r="Z749" s="159">
        <f t="shared" si="431"/>
        <v>0</v>
      </c>
      <c r="AA749" s="159">
        <f t="shared" si="431"/>
        <v>0</v>
      </c>
      <c r="AB749" s="159">
        <f t="shared" si="431"/>
        <v>0</v>
      </c>
      <c r="AC749" s="159">
        <f t="shared" si="431"/>
        <v>0</v>
      </c>
      <c r="AD749" s="159">
        <f t="shared" si="431"/>
        <v>0</v>
      </c>
      <c r="AE749" s="159">
        <f t="shared" si="431"/>
        <v>0</v>
      </c>
      <c r="AF749" s="159">
        <f t="shared" si="431"/>
        <v>0</v>
      </c>
      <c r="AG749" s="159">
        <f t="shared" si="431"/>
        <v>0</v>
      </c>
      <c r="AH749" s="159">
        <f t="shared" si="431"/>
        <v>0</v>
      </c>
      <c r="AI749" s="159">
        <f t="shared" si="431"/>
        <v>0</v>
      </c>
      <c r="AJ749" s="159">
        <f t="shared" si="431"/>
        <v>0</v>
      </c>
      <c r="AK749" s="159">
        <f t="shared" si="431"/>
        <v>0</v>
      </c>
      <c r="AL749" s="159">
        <f t="shared" si="431"/>
        <v>0</v>
      </c>
      <c r="AM749" s="159">
        <f t="shared" si="431"/>
        <v>0</v>
      </c>
      <c r="AN749" s="159">
        <f t="shared" si="431"/>
        <v>0</v>
      </c>
      <c r="AO749" s="159">
        <f t="shared" si="431"/>
        <v>0</v>
      </c>
      <c r="AP749" s="159">
        <f t="shared" si="431"/>
        <v>0</v>
      </c>
    </row>
    <row r="750" spans="1:42" x14ac:dyDescent="0.2">
      <c r="A750" s="4">
        <f t="shared" si="427"/>
        <v>7</v>
      </c>
      <c r="B750" s="181">
        <f t="shared" si="424"/>
        <v>0</v>
      </c>
      <c r="C750" s="159">
        <f t="shared" ref="C750:AP750" si="432">IF(C$2&gt;analysis_period,0,IF(C$2=equip3_reserve_freq*$A750,equip3_reserve_cost*system_capacity*1000*(1+inflation_rate/100)^B$2,0))</f>
        <v>0</v>
      </c>
      <c r="D750" s="159">
        <f t="shared" si="432"/>
        <v>0</v>
      </c>
      <c r="E750" s="159">
        <f t="shared" si="432"/>
        <v>0</v>
      </c>
      <c r="F750" s="159">
        <f t="shared" si="432"/>
        <v>0</v>
      </c>
      <c r="G750" s="159">
        <f t="shared" si="432"/>
        <v>0</v>
      </c>
      <c r="H750" s="159">
        <f t="shared" si="432"/>
        <v>0</v>
      </c>
      <c r="I750" s="159">
        <f t="shared" si="432"/>
        <v>0</v>
      </c>
      <c r="J750" s="159">
        <f t="shared" si="432"/>
        <v>0</v>
      </c>
      <c r="K750" s="159">
        <f t="shared" si="432"/>
        <v>0</v>
      </c>
      <c r="L750" s="159">
        <f t="shared" si="432"/>
        <v>0</v>
      </c>
      <c r="M750" s="159">
        <f t="shared" si="432"/>
        <v>0</v>
      </c>
      <c r="N750" s="159">
        <f t="shared" si="432"/>
        <v>0</v>
      </c>
      <c r="O750" s="159">
        <f t="shared" si="432"/>
        <v>0</v>
      </c>
      <c r="P750" s="159">
        <f t="shared" si="432"/>
        <v>0</v>
      </c>
      <c r="Q750" s="159">
        <f t="shared" si="432"/>
        <v>0</v>
      </c>
      <c r="R750" s="159">
        <f t="shared" si="432"/>
        <v>0</v>
      </c>
      <c r="S750" s="159">
        <f t="shared" si="432"/>
        <v>0</v>
      </c>
      <c r="T750" s="159">
        <f t="shared" si="432"/>
        <v>0</v>
      </c>
      <c r="U750" s="159">
        <f t="shared" si="432"/>
        <v>0</v>
      </c>
      <c r="V750" s="159">
        <f t="shared" si="432"/>
        <v>0</v>
      </c>
      <c r="W750" s="159">
        <f t="shared" si="432"/>
        <v>0</v>
      </c>
      <c r="X750" s="159">
        <f t="shared" si="432"/>
        <v>0</v>
      </c>
      <c r="Y750" s="159">
        <f t="shared" si="432"/>
        <v>0</v>
      </c>
      <c r="Z750" s="159">
        <f t="shared" si="432"/>
        <v>0</v>
      </c>
      <c r="AA750" s="159">
        <f t="shared" si="432"/>
        <v>0</v>
      </c>
      <c r="AB750" s="159">
        <f t="shared" si="432"/>
        <v>0</v>
      </c>
      <c r="AC750" s="159">
        <f t="shared" si="432"/>
        <v>0</v>
      </c>
      <c r="AD750" s="159">
        <f t="shared" si="432"/>
        <v>0</v>
      </c>
      <c r="AE750" s="159">
        <f t="shared" si="432"/>
        <v>0</v>
      </c>
      <c r="AF750" s="159">
        <f t="shared" si="432"/>
        <v>0</v>
      </c>
      <c r="AG750" s="159">
        <f t="shared" si="432"/>
        <v>0</v>
      </c>
      <c r="AH750" s="159">
        <f t="shared" si="432"/>
        <v>0</v>
      </c>
      <c r="AI750" s="159">
        <f t="shared" si="432"/>
        <v>0</v>
      </c>
      <c r="AJ750" s="159">
        <f t="shared" si="432"/>
        <v>0</v>
      </c>
      <c r="AK750" s="159">
        <f t="shared" si="432"/>
        <v>0</v>
      </c>
      <c r="AL750" s="159">
        <f t="shared" si="432"/>
        <v>0</v>
      </c>
      <c r="AM750" s="159">
        <f t="shared" si="432"/>
        <v>0</v>
      </c>
      <c r="AN750" s="159">
        <f t="shared" si="432"/>
        <v>0</v>
      </c>
      <c r="AO750" s="159">
        <f t="shared" si="432"/>
        <v>0</v>
      </c>
      <c r="AP750" s="159">
        <f t="shared" si="432"/>
        <v>0</v>
      </c>
    </row>
    <row r="751" spans="1:42" x14ac:dyDescent="0.2">
      <c r="A751" s="4">
        <f t="shared" si="427"/>
        <v>8</v>
      </c>
      <c r="B751" s="181">
        <f t="shared" si="424"/>
        <v>0</v>
      </c>
      <c r="C751" s="159">
        <f t="shared" ref="C751:AP751" si="433">IF(C$2&gt;analysis_period,0,IF(C$2=equip3_reserve_freq*$A751,equip3_reserve_cost*system_capacity*1000*(1+inflation_rate/100)^B$2,0))</f>
        <v>0</v>
      </c>
      <c r="D751" s="159">
        <f t="shared" si="433"/>
        <v>0</v>
      </c>
      <c r="E751" s="159">
        <f t="shared" si="433"/>
        <v>0</v>
      </c>
      <c r="F751" s="159">
        <f t="shared" si="433"/>
        <v>0</v>
      </c>
      <c r="G751" s="159">
        <f t="shared" si="433"/>
        <v>0</v>
      </c>
      <c r="H751" s="159">
        <f t="shared" si="433"/>
        <v>0</v>
      </c>
      <c r="I751" s="159">
        <f t="shared" si="433"/>
        <v>0</v>
      </c>
      <c r="J751" s="159">
        <f t="shared" si="433"/>
        <v>0</v>
      </c>
      <c r="K751" s="159">
        <f t="shared" si="433"/>
        <v>0</v>
      </c>
      <c r="L751" s="159">
        <f t="shared" si="433"/>
        <v>0</v>
      </c>
      <c r="M751" s="159">
        <f t="shared" si="433"/>
        <v>0</v>
      </c>
      <c r="N751" s="159">
        <f t="shared" si="433"/>
        <v>0</v>
      </c>
      <c r="O751" s="159">
        <f t="shared" si="433"/>
        <v>0</v>
      </c>
      <c r="P751" s="159">
        <f t="shared" si="433"/>
        <v>0</v>
      </c>
      <c r="Q751" s="159">
        <f t="shared" si="433"/>
        <v>0</v>
      </c>
      <c r="R751" s="159">
        <f t="shared" si="433"/>
        <v>0</v>
      </c>
      <c r="S751" s="159">
        <f t="shared" si="433"/>
        <v>0</v>
      </c>
      <c r="T751" s="159">
        <f t="shared" si="433"/>
        <v>0</v>
      </c>
      <c r="U751" s="159">
        <f t="shared" si="433"/>
        <v>0</v>
      </c>
      <c r="V751" s="159">
        <f t="shared" si="433"/>
        <v>0</v>
      </c>
      <c r="W751" s="159">
        <f t="shared" si="433"/>
        <v>0</v>
      </c>
      <c r="X751" s="159">
        <f t="shared" si="433"/>
        <v>0</v>
      </c>
      <c r="Y751" s="159">
        <f t="shared" si="433"/>
        <v>0</v>
      </c>
      <c r="Z751" s="159">
        <f t="shared" si="433"/>
        <v>0</v>
      </c>
      <c r="AA751" s="159">
        <f t="shared" si="433"/>
        <v>0</v>
      </c>
      <c r="AB751" s="159">
        <f t="shared" si="433"/>
        <v>0</v>
      </c>
      <c r="AC751" s="159">
        <f t="shared" si="433"/>
        <v>0</v>
      </c>
      <c r="AD751" s="159">
        <f t="shared" si="433"/>
        <v>0</v>
      </c>
      <c r="AE751" s="159">
        <f t="shared" si="433"/>
        <v>0</v>
      </c>
      <c r="AF751" s="159">
        <f t="shared" si="433"/>
        <v>0</v>
      </c>
      <c r="AG751" s="159">
        <f t="shared" si="433"/>
        <v>0</v>
      </c>
      <c r="AH751" s="159">
        <f t="shared" si="433"/>
        <v>0</v>
      </c>
      <c r="AI751" s="159">
        <f t="shared" si="433"/>
        <v>0</v>
      </c>
      <c r="AJ751" s="159">
        <f t="shared" si="433"/>
        <v>0</v>
      </c>
      <c r="AK751" s="159">
        <f t="shared" si="433"/>
        <v>0</v>
      </c>
      <c r="AL751" s="159">
        <f t="shared" si="433"/>
        <v>0</v>
      </c>
      <c r="AM751" s="159">
        <f t="shared" si="433"/>
        <v>0</v>
      </c>
      <c r="AN751" s="159">
        <f t="shared" si="433"/>
        <v>0</v>
      </c>
      <c r="AO751" s="159">
        <f t="shared" si="433"/>
        <v>0</v>
      </c>
      <c r="AP751" s="159">
        <f t="shared" si="433"/>
        <v>0</v>
      </c>
    </row>
    <row r="752" spans="1:42" x14ac:dyDescent="0.2">
      <c r="A752" s="4">
        <f>A751+1</f>
        <v>9</v>
      </c>
      <c r="B752" s="181">
        <f t="shared" si="424"/>
        <v>0</v>
      </c>
      <c r="C752" s="159">
        <f t="shared" ref="C752:AP752" si="434">IF(C$2&gt;analysis_period,0,IF(C$2=equip3_reserve_freq*$A752,equip3_reserve_cost*system_capacity*1000*(1+inflation_rate/100)^B$2,0))</f>
        <v>0</v>
      </c>
      <c r="D752" s="159">
        <f t="shared" si="434"/>
        <v>0</v>
      </c>
      <c r="E752" s="159">
        <f t="shared" si="434"/>
        <v>0</v>
      </c>
      <c r="F752" s="159">
        <f t="shared" si="434"/>
        <v>0</v>
      </c>
      <c r="G752" s="159">
        <f t="shared" si="434"/>
        <v>0</v>
      </c>
      <c r="H752" s="159">
        <f t="shared" si="434"/>
        <v>0</v>
      </c>
      <c r="I752" s="159">
        <f t="shared" si="434"/>
        <v>0</v>
      </c>
      <c r="J752" s="159">
        <f t="shared" si="434"/>
        <v>0</v>
      </c>
      <c r="K752" s="159">
        <f t="shared" si="434"/>
        <v>0</v>
      </c>
      <c r="L752" s="159">
        <f t="shared" si="434"/>
        <v>0</v>
      </c>
      <c r="M752" s="159">
        <f t="shared" si="434"/>
        <v>0</v>
      </c>
      <c r="N752" s="159">
        <f t="shared" si="434"/>
        <v>0</v>
      </c>
      <c r="O752" s="159">
        <f t="shared" si="434"/>
        <v>0</v>
      </c>
      <c r="P752" s="159">
        <f t="shared" si="434"/>
        <v>0</v>
      </c>
      <c r="Q752" s="159">
        <f t="shared" si="434"/>
        <v>0</v>
      </c>
      <c r="R752" s="159">
        <f t="shared" si="434"/>
        <v>0</v>
      </c>
      <c r="S752" s="159">
        <f t="shared" si="434"/>
        <v>0</v>
      </c>
      <c r="T752" s="159">
        <f t="shared" si="434"/>
        <v>0</v>
      </c>
      <c r="U752" s="159">
        <f t="shared" si="434"/>
        <v>0</v>
      </c>
      <c r="V752" s="159">
        <f t="shared" si="434"/>
        <v>0</v>
      </c>
      <c r="W752" s="159">
        <f t="shared" si="434"/>
        <v>0</v>
      </c>
      <c r="X752" s="159">
        <f t="shared" si="434"/>
        <v>0</v>
      </c>
      <c r="Y752" s="159">
        <f t="shared" si="434"/>
        <v>0</v>
      </c>
      <c r="Z752" s="159">
        <f t="shared" si="434"/>
        <v>0</v>
      </c>
      <c r="AA752" s="159">
        <f t="shared" si="434"/>
        <v>0</v>
      </c>
      <c r="AB752" s="159">
        <f t="shared" si="434"/>
        <v>0</v>
      </c>
      <c r="AC752" s="159">
        <f t="shared" si="434"/>
        <v>0</v>
      </c>
      <c r="AD752" s="159">
        <f t="shared" si="434"/>
        <v>0</v>
      </c>
      <c r="AE752" s="159">
        <f t="shared" si="434"/>
        <v>0</v>
      </c>
      <c r="AF752" s="159">
        <f t="shared" si="434"/>
        <v>0</v>
      </c>
      <c r="AG752" s="159">
        <f t="shared" si="434"/>
        <v>0</v>
      </c>
      <c r="AH752" s="159">
        <f t="shared" si="434"/>
        <v>0</v>
      </c>
      <c r="AI752" s="159">
        <f t="shared" si="434"/>
        <v>0</v>
      </c>
      <c r="AJ752" s="159">
        <f t="shared" si="434"/>
        <v>0</v>
      </c>
      <c r="AK752" s="159">
        <f t="shared" si="434"/>
        <v>0</v>
      </c>
      <c r="AL752" s="159">
        <f t="shared" si="434"/>
        <v>0</v>
      </c>
      <c r="AM752" s="159">
        <f t="shared" si="434"/>
        <v>0</v>
      </c>
      <c r="AN752" s="159">
        <f t="shared" si="434"/>
        <v>0</v>
      </c>
      <c r="AO752" s="159">
        <f t="shared" si="434"/>
        <v>0</v>
      </c>
      <c r="AP752" s="159">
        <f t="shared" si="434"/>
        <v>0</v>
      </c>
    </row>
    <row r="753" spans="1:42" x14ac:dyDescent="0.2">
      <c r="A753" s="4">
        <f t="shared" si="427"/>
        <v>10</v>
      </c>
      <c r="B753" s="181">
        <f t="shared" si="424"/>
        <v>0</v>
      </c>
      <c r="C753" s="159">
        <f t="shared" ref="C753:AP753" si="435">IF(C$2&gt;analysis_period,0,IF(C$2=equip3_reserve_freq*$A753,equip3_reserve_cost*system_capacity*1000*(1+inflation_rate/100)^B$2,0))</f>
        <v>0</v>
      </c>
      <c r="D753" s="159">
        <f t="shared" si="435"/>
        <v>0</v>
      </c>
      <c r="E753" s="159">
        <f t="shared" si="435"/>
        <v>0</v>
      </c>
      <c r="F753" s="159">
        <f t="shared" si="435"/>
        <v>0</v>
      </c>
      <c r="G753" s="159">
        <f t="shared" si="435"/>
        <v>0</v>
      </c>
      <c r="H753" s="159">
        <f t="shared" si="435"/>
        <v>0</v>
      </c>
      <c r="I753" s="159">
        <f t="shared" si="435"/>
        <v>0</v>
      </c>
      <c r="J753" s="159">
        <f t="shared" si="435"/>
        <v>0</v>
      </c>
      <c r="K753" s="159">
        <f t="shared" si="435"/>
        <v>0</v>
      </c>
      <c r="L753" s="159">
        <f t="shared" si="435"/>
        <v>0</v>
      </c>
      <c r="M753" s="159">
        <f t="shared" si="435"/>
        <v>0</v>
      </c>
      <c r="N753" s="159">
        <f t="shared" si="435"/>
        <v>0</v>
      </c>
      <c r="O753" s="159">
        <f t="shared" si="435"/>
        <v>0</v>
      </c>
      <c r="P753" s="159">
        <f t="shared" si="435"/>
        <v>0</v>
      </c>
      <c r="Q753" s="159">
        <f t="shared" si="435"/>
        <v>0</v>
      </c>
      <c r="R753" s="159">
        <f t="shared" si="435"/>
        <v>0</v>
      </c>
      <c r="S753" s="159">
        <f t="shared" si="435"/>
        <v>0</v>
      </c>
      <c r="T753" s="159">
        <f t="shared" si="435"/>
        <v>0</v>
      </c>
      <c r="U753" s="159">
        <f t="shared" si="435"/>
        <v>0</v>
      </c>
      <c r="V753" s="159">
        <f t="shared" si="435"/>
        <v>0</v>
      </c>
      <c r="W753" s="159">
        <f t="shared" si="435"/>
        <v>0</v>
      </c>
      <c r="X753" s="159">
        <f t="shared" si="435"/>
        <v>0</v>
      </c>
      <c r="Y753" s="159">
        <f t="shared" si="435"/>
        <v>0</v>
      </c>
      <c r="Z753" s="159">
        <f t="shared" si="435"/>
        <v>0</v>
      </c>
      <c r="AA753" s="159">
        <f t="shared" si="435"/>
        <v>0</v>
      </c>
      <c r="AB753" s="159">
        <f t="shared" si="435"/>
        <v>0</v>
      </c>
      <c r="AC753" s="159">
        <f t="shared" si="435"/>
        <v>0</v>
      </c>
      <c r="AD753" s="159">
        <f t="shared" si="435"/>
        <v>0</v>
      </c>
      <c r="AE753" s="159">
        <f t="shared" si="435"/>
        <v>0</v>
      </c>
      <c r="AF753" s="159">
        <f t="shared" si="435"/>
        <v>0</v>
      </c>
      <c r="AG753" s="159">
        <f t="shared" si="435"/>
        <v>0</v>
      </c>
      <c r="AH753" s="159">
        <f t="shared" si="435"/>
        <v>0</v>
      </c>
      <c r="AI753" s="159">
        <f t="shared" si="435"/>
        <v>0</v>
      </c>
      <c r="AJ753" s="159">
        <f t="shared" si="435"/>
        <v>0</v>
      </c>
      <c r="AK753" s="159">
        <f t="shared" si="435"/>
        <v>0</v>
      </c>
      <c r="AL753" s="159">
        <f t="shared" si="435"/>
        <v>0</v>
      </c>
      <c r="AM753" s="159">
        <f t="shared" si="435"/>
        <v>0</v>
      </c>
      <c r="AN753" s="159">
        <f t="shared" si="435"/>
        <v>0</v>
      </c>
      <c r="AO753" s="159">
        <f t="shared" si="435"/>
        <v>0</v>
      </c>
      <c r="AP753" s="159">
        <f t="shared" si="435"/>
        <v>0</v>
      </c>
    </row>
    <row r="754" spans="1:42" x14ac:dyDescent="0.2">
      <c r="A754" s="27" t="s">
        <v>13</v>
      </c>
      <c r="B754" s="15"/>
      <c r="C754" s="159">
        <f>SUM(C744:C753)</f>
        <v>0</v>
      </c>
      <c r="D754" s="159">
        <f t="shared" ref="D754:AP754" si="436">SUM(D744:D753)</f>
        <v>0</v>
      </c>
      <c r="E754" s="159">
        <f t="shared" si="436"/>
        <v>0</v>
      </c>
      <c r="F754" s="159">
        <f t="shared" si="436"/>
        <v>0</v>
      </c>
      <c r="G754" s="159">
        <f t="shared" si="436"/>
        <v>0</v>
      </c>
      <c r="H754" s="159">
        <f t="shared" si="436"/>
        <v>0</v>
      </c>
      <c r="I754" s="159">
        <f t="shared" si="436"/>
        <v>0</v>
      </c>
      <c r="J754" s="159">
        <f t="shared" si="436"/>
        <v>0</v>
      </c>
      <c r="K754" s="159">
        <f t="shared" si="436"/>
        <v>0</v>
      </c>
      <c r="L754" s="159">
        <f t="shared" si="436"/>
        <v>0</v>
      </c>
      <c r="M754" s="159">
        <f t="shared" si="436"/>
        <v>0</v>
      </c>
      <c r="N754" s="159">
        <f t="shared" si="436"/>
        <v>0</v>
      </c>
      <c r="O754" s="159">
        <f t="shared" si="436"/>
        <v>0</v>
      </c>
      <c r="P754" s="159">
        <f t="shared" si="436"/>
        <v>0</v>
      </c>
      <c r="Q754" s="159">
        <f t="shared" si="436"/>
        <v>0</v>
      </c>
      <c r="R754" s="159">
        <f t="shared" si="436"/>
        <v>0</v>
      </c>
      <c r="S754" s="159">
        <f t="shared" si="436"/>
        <v>0</v>
      </c>
      <c r="T754" s="159">
        <f t="shared" si="436"/>
        <v>0</v>
      </c>
      <c r="U754" s="159">
        <f t="shared" si="436"/>
        <v>0</v>
      </c>
      <c r="V754" s="159">
        <f t="shared" si="436"/>
        <v>0</v>
      </c>
      <c r="W754" s="159">
        <f t="shared" si="436"/>
        <v>0</v>
      </c>
      <c r="X754" s="159">
        <f t="shared" si="436"/>
        <v>0</v>
      </c>
      <c r="Y754" s="159">
        <f t="shared" si="436"/>
        <v>0</v>
      </c>
      <c r="Z754" s="159">
        <f t="shared" si="436"/>
        <v>0</v>
      </c>
      <c r="AA754" s="159">
        <f t="shared" si="436"/>
        <v>0</v>
      </c>
      <c r="AB754" s="159">
        <f t="shared" si="436"/>
        <v>0</v>
      </c>
      <c r="AC754" s="159">
        <f t="shared" si="436"/>
        <v>0</v>
      </c>
      <c r="AD754" s="159">
        <f t="shared" si="436"/>
        <v>0</v>
      </c>
      <c r="AE754" s="159">
        <f t="shared" si="436"/>
        <v>0</v>
      </c>
      <c r="AF754" s="159">
        <f t="shared" si="436"/>
        <v>0</v>
      </c>
      <c r="AG754" s="159">
        <f t="shared" si="436"/>
        <v>0</v>
      </c>
      <c r="AH754" s="159">
        <f t="shared" si="436"/>
        <v>0</v>
      </c>
      <c r="AI754" s="159">
        <f t="shared" si="436"/>
        <v>0</v>
      </c>
      <c r="AJ754" s="159">
        <f t="shared" si="436"/>
        <v>0</v>
      </c>
      <c r="AK754" s="159">
        <f t="shared" si="436"/>
        <v>0</v>
      </c>
      <c r="AL754" s="159">
        <f t="shared" si="436"/>
        <v>0</v>
      </c>
      <c r="AM754" s="159">
        <f t="shared" si="436"/>
        <v>0</v>
      </c>
      <c r="AN754" s="159">
        <f t="shared" si="436"/>
        <v>0</v>
      </c>
      <c r="AO754" s="159">
        <f t="shared" si="436"/>
        <v>0</v>
      </c>
      <c r="AP754" s="159">
        <f t="shared" si="436"/>
        <v>0</v>
      </c>
    </row>
    <row r="755" spans="1:42" x14ac:dyDescent="0.2">
      <c r="A755" s="4" t="s">
        <v>229</v>
      </c>
    </row>
    <row r="756" spans="1:42" x14ac:dyDescent="0.2">
      <c r="A756" s="4">
        <v>1</v>
      </c>
      <c r="B756" s="181">
        <f t="shared" ref="B756:B765" si="437">SUM(C756:AP756)</f>
        <v>0</v>
      </c>
      <c r="C756" s="159">
        <f t="shared" ref="C756:AP756" si="438">IF(C$2&lt;=equip3_reserve_freq*$A$744,$B$744/(equip3_reserve_freq),0)</f>
        <v>0</v>
      </c>
      <c r="D756" s="159">
        <f t="shared" si="438"/>
        <v>0</v>
      </c>
      <c r="E756" s="159">
        <f t="shared" si="438"/>
        <v>0</v>
      </c>
      <c r="F756" s="159">
        <f t="shared" si="438"/>
        <v>0</v>
      </c>
      <c r="G756" s="159">
        <f t="shared" si="438"/>
        <v>0</v>
      </c>
      <c r="H756" s="159">
        <f t="shared" si="438"/>
        <v>0</v>
      </c>
      <c r="I756" s="159">
        <f t="shared" si="438"/>
        <v>0</v>
      </c>
      <c r="J756" s="159">
        <f t="shared" si="438"/>
        <v>0</v>
      </c>
      <c r="K756" s="159">
        <f t="shared" si="438"/>
        <v>0</v>
      </c>
      <c r="L756" s="159">
        <f t="shared" si="438"/>
        <v>0</v>
      </c>
      <c r="M756" s="159">
        <f t="shared" si="438"/>
        <v>0</v>
      </c>
      <c r="N756" s="159">
        <f t="shared" si="438"/>
        <v>0</v>
      </c>
      <c r="O756" s="159">
        <f t="shared" si="438"/>
        <v>0</v>
      </c>
      <c r="P756" s="159">
        <f t="shared" si="438"/>
        <v>0</v>
      </c>
      <c r="Q756" s="159">
        <f t="shared" si="438"/>
        <v>0</v>
      </c>
      <c r="R756" s="159">
        <f t="shared" si="438"/>
        <v>0</v>
      </c>
      <c r="S756" s="159">
        <f t="shared" si="438"/>
        <v>0</v>
      </c>
      <c r="T756" s="159">
        <f t="shared" si="438"/>
        <v>0</v>
      </c>
      <c r="U756" s="159">
        <f t="shared" si="438"/>
        <v>0</v>
      </c>
      <c r="V756" s="159">
        <f t="shared" si="438"/>
        <v>0</v>
      </c>
      <c r="W756" s="159">
        <f t="shared" si="438"/>
        <v>0</v>
      </c>
      <c r="X756" s="159">
        <f t="shared" si="438"/>
        <v>0</v>
      </c>
      <c r="Y756" s="159">
        <f t="shared" si="438"/>
        <v>0</v>
      </c>
      <c r="Z756" s="159">
        <f t="shared" si="438"/>
        <v>0</v>
      </c>
      <c r="AA756" s="159">
        <f t="shared" si="438"/>
        <v>0</v>
      </c>
      <c r="AB756" s="159">
        <f t="shared" si="438"/>
        <v>0</v>
      </c>
      <c r="AC756" s="159">
        <f t="shared" si="438"/>
        <v>0</v>
      </c>
      <c r="AD756" s="159">
        <f t="shared" si="438"/>
        <v>0</v>
      </c>
      <c r="AE756" s="159">
        <f t="shared" si="438"/>
        <v>0</v>
      </c>
      <c r="AF756" s="159">
        <f t="shared" si="438"/>
        <v>0</v>
      </c>
      <c r="AG756" s="159">
        <f t="shared" si="438"/>
        <v>0</v>
      </c>
      <c r="AH756" s="159">
        <f t="shared" si="438"/>
        <v>0</v>
      </c>
      <c r="AI756" s="159">
        <f t="shared" si="438"/>
        <v>0</v>
      </c>
      <c r="AJ756" s="159">
        <f t="shared" si="438"/>
        <v>0</v>
      </c>
      <c r="AK756" s="159">
        <f t="shared" si="438"/>
        <v>0</v>
      </c>
      <c r="AL756" s="159">
        <f t="shared" si="438"/>
        <v>0</v>
      </c>
      <c r="AM756" s="159">
        <f t="shared" si="438"/>
        <v>0</v>
      </c>
      <c r="AN756" s="159">
        <f t="shared" si="438"/>
        <v>0</v>
      </c>
      <c r="AO756" s="159">
        <f t="shared" si="438"/>
        <v>0</v>
      </c>
      <c r="AP756" s="159">
        <f t="shared" si="438"/>
        <v>0</v>
      </c>
    </row>
    <row r="757" spans="1:42" x14ac:dyDescent="0.2">
      <c r="A757" s="4">
        <f>A756+1</f>
        <v>2</v>
      </c>
      <c r="B757" s="181">
        <f t="shared" si="437"/>
        <v>0</v>
      </c>
      <c r="C757" s="159">
        <f t="shared" ref="C757:AP757" si="439">IF(AND(C$2&gt;equip3_reserve_freq*$A744,C$2&lt;=equip3_reserve_freq*$A745),$B745/(equip3_reserve_freq),0)</f>
        <v>0</v>
      </c>
      <c r="D757" s="159">
        <f t="shared" si="439"/>
        <v>0</v>
      </c>
      <c r="E757" s="159">
        <f t="shared" si="439"/>
        <v>0</v>
      </c>
      <c r="F757" s="159">
        <f t="shared" si="439"/>
        <v>0</v>
      </c>
      <c r="G757" s="159">
        <f t="shared" si="439"/>
        <v>0</v>
      </c>
      <c r="H757" s="159">
        <f t="shared" si="439"/>
        <v>0</v>
      </c>
      <c r="I757" s="159">
        <f t="shared" si="439"/>
        <v>0</v>
      </c>
      <c r="J757" s="159">
        <f t="shared" si="439"/>
        <v>0</v>
      </c>
      <c r="K757" s="159">
        <f t="shared" si="439"/>
        <v>0</v>
      </c>
      <c r="L757" s="159">
        <f t="shared" si="439"/>
        <v>0</v>
      </c>
      <c r="M757" s="159">
        <f t="shared" si="439"/>
        <v>0</v>
      </c>
      <c r="N757" s="159">
        <f t="shared" si="439"/>
        <v>0</v>
      </c>
      <c r="O757" s="159">
        <f t="shared" si="439"/>
        <v>0</v>
      </c>
      <c r="P757" s="159">
        <f t="shared" si="439"/>
        <v>0</v>
      </c>
      <c r="Q757" s="159">
        <f t="shared" si="439"/>
        <v>0</v>
      </c>
      <c r="R757" s="159">
        <f t="shared" si="439"/>
        <v>0</v>
      </c>
      <c r="S757" s="159">
        <f t="shared" si="439"/>
        <v>0</v>
      </c>
      <c r="T757" s="159">
        <f t="shared" si="439"/>
        <v>0</v>
      </c>
      <c r="U757" s="159">
        <f t="shared" si="439"/>
        <v>0</v>
      </c>
      <c r="V757" s="159">
        <f t="shared" si="439"/>
        <v>0</v>
      </c>
      <c r="W757" s="159">
        <f t="shared" si="439"/>
        <v>0</v>
      </c>
      <c r="X757" s="159">
        <f t="shared" si="439"/>
        <v>0</v>
      </c>
      <c r="Y757" s="159">
        <f t="shared" si="439"/>
        <v>0</v>
      </c>
      <c r="Z757" s="159">
        <f t="shared" si="439"/>
        <v>0</v>
      </c>
      <c r="AA757" s="159">
        <f t="shared" si="439"/>
        <v>0</v>
      </c>
      <c r="AB757" s="159">
        <f t="shared" si="439"/>
        <v>0</v>
      </c>
      <c r="AC757" s="159">
        <f t="shared" si="439"/>
        <v>0</v>
      </c>
      <c r="AD757" s="159">
        <f t="shared" si="439"/>
        <v>0</v>
      </c>
      <c r="AE757" s="159">
        <f t="shared" si="439"/>
        <v>0</v>
      </c>
      <c r="AF757" s="159">
        <f t="shared" si="439"/>
        <v>0</v>
      </c>
      <c r="AG757" s="159">
        <f t="shared" si="439"/>
        <v>0</v>
      </c>
      <c r="AH757" s="159">
        <f t="shared" si="439"/>
        <v>0</v>
      </c>
      <c r="AI757" s="159">
        <f t="shared" si="439"/>
        <v>0</v>
      </c>
      <c r="AJ757" s="159">
        <f t="shared" si="439"/>
        <v>0</v>
      </c>
      <c r="AK757" s="159">
        <f t="shared" si="439"/>
        <v>0</v>
      </c>
      <c r="AL757" s="159">
        <f t="shared" si="439"/>
        <v>0</v>
      </c>
      <c r="AM757" s="159">
        <f t="shared" si="439"/>
        <v>0</v>
      </c>
      <c r="AN757" s="159">
        <f t="shared" si="439"/>
        <v>0</v>
      </c>
      <c r="AO757" s="159">
        <f t="shared" si="439"/>
        <v>0</v>
      </c>
      <c r="AP757" s="159">
        <f t="shared" si="439"/>
        <v>0</v>
      </c>
    </row>
    <row r="758" spans="1:42" x14ac:dyDescent="0.2">
      <c r="A758" s="4">
        <f t="shared" ref="A758:A763" si="440">A757+1</f>
        <v>3</v>
      </c>
      <c r="B758" s="181">
        <f t="shared" si="437"/>
        <v>0</v>
      </c>
      <c r="C758" s="159">
        <f t="shared" ref="C758:AP758" si="441">IF(AND(C$2&gt;equip3_reserve_freq*$A745,C$2&lt;=equip3_reserve_freq*$A746),$B746/(equip3_reserve_freq),0)</f>
        <v>0</v>
      </c>
      <c r="D758" s="159">
        <f t="shared" si="441"/>
        <v>0</v>
      </c>
      <c r="E758" s="159">
        <f t="shared" si="441"/>
        <v>0</v>
      </c>
      <c r="F758" s="159">
        <f t="shared" si="441"/>
        <v>0</v>
      </c>
      <c r="G758" s="159">
        <f t="shared" si="441"/>
        <v>0</v>
      </c>
      <c r="H758" s="159">
        <f t="shared" si="441"/>
        <v>0</v>
      </c>
      <c r="I758" s="159">
        <f t="shared" si="441"/>
        <v>0</v>
      </c>
      <c r="J758" s="159">
        <f t="shared" si="441"/>
        <v>0</v>
      </c>
      <c r="K758" s="159">
        <f t="shared" si="441"/>
        <v>0</v>
      </c>
      <c r="L758" s="159">
        <f t="shared" si="441"/>
        <v>0</v>
      </c>
      <c r="M758" s="159">
        <f t="shared" si="441"/>
        <v>0</v>
      </c>
      <c r="N758" s="159">
        <f t="shared" si="441"/>
        <v>0</v>
      </c>
      <c r="O758" s="159">
        <f t="shared" si="441"/>
        <v>0</v>
      </c>
      <c r="P758" s="159">
        <f t="shared" si="441"/>
        <v>0</v>
      </c>
      <c r="Q758" s="159">
        <f t="shared" si="441"/>
        <v>0</v>
      </c>
      <c r="R758" s="159">
        <f t="shared" si="441"/>
        <v>0</v>
      </c>
      <c r="S758" s="159">
        <f t="shared" si="441"/>
        <v>0</v>
      </c>
      <c r="T758" s="159">
        <f t="shared" si="441"/>
        <v>0</v>
      </c>
      <c r="U758" s="159">
        <f t="shared" si="441"/>
        <v>0</v>
      </c>
      <c r="V758" s="159">
        <f t="shared" si="441"/>
        <v>0</v>
      </c>
      <c r="W758" s="159">
        <f t="shared" si="441"/>
        <v>0</v>
      </c>
      <c r="X758" s="159">
        <f t="shared" si="441"/>
        <v>0</v>
      </c>
      <c r="Y758" s="159">
        <f t="shared" si="441"/>
        <v>0</v>
      </c>
      <c r="Z758" s="159">
        <f t="shared" si="441"/>
        <v>0</v>
      </c>
      <c r="AA758" s="159">
        <f t="shared" si="441"/>
        <v>0</v>
      </c>
      <c r="AB758" s="159">
        <f t="shared" si="441"/>
        <v>0</v>
      </c>
      <c r="AC758" s="159">
        <f t="shared" si="441"/>
        <v>0</v>
      </c>
      <c r="AD758" s="159">
        <f t="shared" si="441"/>
        <v>0</v>
      </c>
      <c r="AE758" s="159">
        <f t="shared" si="441"/>
        <v>0</v>
      </c>
      <c r="AF758" s="159">
        <f t="shared" si="441"/>
        <v>0</v>
      </c>
      <c r="AG758" s="159">
        <f t="shared" si="441"/>
        <v>0</v>
      </c>
      <c r="AH758" s="159">
        <f t="shared" si="441"/>
        <v>0</v>
      </c>
      <c r="AI758" s="159">
        <f t="shared" si="441"/>
        <v>0</v>
      </c>
      <c r="AJ758" s="159">
        <f t="shared" si="441"/>
        <v>0</v>
      </c>
      <c r="AK758" s="159">
        <f t="shared" si="441"/>
        <v>0</v>
      </c>
      <c r="AL758" s="159">
        <f t="shared" si="441"/>
        <v>0</v>
      </c>
      <c r="AM758" s="159">
        <f t="shared" si="441"/>
        <v>0</v>
      </c>
      <c r="AN758" s="159">
        <f t="shared" si="441"/>
        <v>0</v>
      </c>
      <c r="AO758" s="159">
        <f t="shared" si="441"/>
        <v>0</v>
      </c>
      <c r="AP758" s="159">
        <f t="shared" si="441"/>
        <v>0</v>
      </c>
    </row>
    <row r="759" spans="1:42" x14ac:dyDescent="0.2">
      <c r="A759" s="4">
        <f t="shared" si="440"/>
        <v>4</v>
      </c>
      <c r="B759" s="181">
        <f t="shared" si="437"/>
        <v>0</v>
      </c>
      <c r="C759" s="159">
        <f t="shared" ref="C759:AP759" si="442">IF(AND(C$2&gt;equip3_reserve_freq*$A746,C$2&lt;=equip3_reserve_freq*$A747),$B747/(equip3_reserve_freq),0)</f>
        <v>0</v>
      </c>
      <c r="D759" s="159">
        <f t="shared" si="442"/>
        <v>0</v>
      </c>
      <c r="E759" s="159">
        <f t="shared" si="442"/>
        <v>0</v>
      </c>
      <c r="F759" s="159">
        <f t="shared" si="442"/>
        <v>0</v>
      </c>
      <c r="G759" s="159">
        <f t="shared" si="442"/>
        <v>0</v>
      </c>
      <c r="H759" s="159">
        <f t="shared" si="442"/>
        <v>0</v>
      </c>
      <c r="I759" s="159">
        <f t="shared" si="442"/>
        <v>0</v>
      </c>
      <c r="J759" s="159">
        <f t="shared" si="442"/>
        <v>0</v>
      </c>
      <c r="K759" s="159">
        <f t="shared" si="442"/>
        <v>0</v>
      </c>
      <c r="L759" s="159">
        <f t="shared" si="442"/>
        <v>0</v>
      </c>
      <c r="M759" s="159">
        <f t="shared" si="442"/>
        <v>0</v>
      </c>
      <c r="N759" s="159">
        <f t="shared" si="442"/>
        <v>0</v>
      </c>
      <c r="O759" s="159">
        <f t="shared" si="442"/>
        <v>0</v>
      </c>
      <c r="P759" s="159">
        <f t="shared" si="442"/>
        <v>0</v>
      </c>
      <c r="Q759" s="159">
        <f t="shared" si="442"/>
        <v>0</v>
      </c>
      <c r="R759" s="159">
        <f t="shared" si="442"/>
        <v>0</v>
      </c>
      <c r="S759" s="159">
        <f t="shared" si="442"/>
        <v>0</v>
      </c>
      <c r="T759" s="159">
        <f t="shared" si="442"/>
        <v>0</v>
      </c>
      <c r="U759" s="159">
        <f t="shared" si="442"/>
        <v>0</v>
      </c>
      <c r="V759" s="159">
        <f t="shared" si="442"/>
        <v>0</v>
      </c>
      <c r="W759" s="159">
        <f t="shared" si="442"/>
        <v>0</v>
      </c>
      <c r="X759" s="159">
        <f t="shared" si="442"/>
        <v>0</v>
      </c>
      <c r="Y759" s="159">
        <f t="shared" si="442"/>
        <v>0</v>
      </c>
      <c r="Z759" s="159">
        <f t="shared" si="442"/>
        <v>0</v>
      </c>
      <c r="AA759" s="159">
        <f t="shared" si="442"/>
        <v>0</v>
      </c>
      <c r="AB759" s="159">
        <f t="shared" si="442"/>
        <v>0</v>
      </c>
      <c r="AC759" s="159">
        <f t="shared" si="442"/>
        <v>0</v>
      </c>
      <c r="AD759" s="159">
        <f t="shared" si="442"/>
        <v>0</v>
      </c>
      <c r="AE759" s="159">
        <f t="shared" si="442"/>
        <v>0</v>
      </c>
      <c r="AF759" s="159">
        <f t="shared" si="442"/>
        <v>0</v>
      </c>
      <c r="AG759" s="159">
        <f t="shared" si="442"/>
        <v>0</v>
      </c>
      <c r="AH759" s="159">
        <f t="shared" si="442"/>
        <v>0</v>
      </c>
      <c r="AI759" s="159">
        <f t="shared" si="442"/>
        <v>0</v>
      </c>
      <c r="AJ759" s="159">
        <f t="shared" si="442"/>
        <v>0</v>
      </c>
      <c r="AK759" s="159">
        <f t="shared" si="442"/>
        <v>0</v>
      </c>
      <c r="AL759" s="159">
        <f t="shared" si="442"/>
        <v>0</v>
      </c>
      <c r="AM759" s="159">
        <f t="shared" si="442"/>
        <v>0</v>
      </c>
      <c r="AN759" s="159">
        <f t="shared" si="442"/>
        <v>0</v>
      </c>
      <c r="AO759" s="159">
        <f t="shared" si="442"/>
        <v>0</v>
      </c>
      <c r="AP759" s="159">
        <f t="shared" si="442"/>
        <v>0</v>
      </c>
    </row>
    <row r="760" spans="1:42" x14ac:dyDescent="0.2">
      <c r="A760" s="4">
        <f t="shared" si="440"/>
        <v>5</v>
      </c>
      <c r="B760" s="181">
        <f t="shared" si="437"/>
        <v>0</v>
      </c>
      <c r="C760" s="159">
        <f t="shared" ref="C760:AP760" si="443">IF(AND(C$2&gt;equip3_reserve_freq*$A747,C$2&lt;=equip3_reserve_freq*$A748),$B748/(equip3_reserve_freq),0)</f>
        <v>0</v>
      </c>
      <c r="D760" s="159">
        <f t="shared" si="443"/>
        <v>0</v>
      </c>
      <c r="E760" s="159">
        <f t="shared" si="443"/>
        <v>0</v>
      </c>
      <c r="F760" s="159">
        <f t="shared" si="443"/>
        <v>0</v>
      </c>
      <c r="G760" s="159">
        <f t="shared" si="443"/>
        <v>0</v>
      </c>
      <c r="H760" s="159">
        <f t="shared" si="443"/>
        <v>0</v>
      </c>
      <c r="I760" s="159">
        <f t="shared" si="443"/>
        <v>0</v>
      </c>
      <c r="J760" s="159">
        <f t="shared" si="443"/>
        <v>0</v>
      </c>
      <c r="K760" s="159">
        <f t="shared" si="443"/>
        <v>0</v>
      </c>
      <c r="L760" s="159">
        <f t="shared" si="443"/>
        <v>0</v>
      </c>
      <c r="M760" s="159">
        <f t="shared" si="443"/>
        <v>0</v>
      </c>
      <c r="N760" s="159">
        <f t="shared" si="443"/>
        <v>0</v>
      </c>
      <c r="O760" s="159">
        <f t="shared" si="443"/>
        <v>0</v>
      </c>
      <c r="P760" s="159">
        <f t="shared" si="443"/>
        <v>0</v>
      </c>
      <c r="Q760" s="159">
        <f t="shared" si="443"/>
        <v>0</v>
      </c>
      <c r="R760" s="159">
        <f t="shared" si="443"/>
        <v>0</v>
      </c>
      <c r="S760" s="159">
        <f t="shared" si="443"/>
        <v>0</v>
      </c>
      <c r="T760" s="159">
        <f t="shared" si="443"/>
        <v>0</v>
      </c>
      <c r="U760" s="159">
        <f t="shared" si="443"/>
        <v>0</v>
      </c>
      <c r="V760" s="159">
        <f t="shared" si="443"/>
        <v>0</v>
      </c>
      <c r="W760" s="159">
        <f t="shared" si="443"/>
        <v>0</v>
      </c>
      <c r="X760" s="159">
        <f t="shared" si="443"/>
        <v>0</v>
      </c>
      <c r="Y760" s="159">
        <f t="shared" si="443"/>
        <v>0</v>
      </c>
      <c r="Z760" s="159">
        <f t="shared" si="443"/>
        <v>0</v>
      </c>
      <c r="AA760" s="159">
        <f t="shared" si="443"/>
        <v>0</v>
      </c>
      <c r="AB760" s="159">
        <f t="shared" si="443"/>
        <v>0</v>
      </c>
      <c r="AC760" s="159">
        <f t="shared" si="443"/>
        <v>0</v>
      </c>
      <c r="AD760" s="159">
        <f t="shared" si="443"/>
        <v>0</v>
      </c>
      <c r="AE760" s="159">
        <f t="shared" si="443"/>
        <v>0</v>
      </c>
      <c r="AF760" s="159">
        <f t="shared" si="443"/>
        <v>0</v>
      </c>
      <c r="AG760" s="159">
        <f t="shared" si="443"/>
        <v>0</v>
      </c>
      <c r="AH760" s="159">
        <f t="shared" si="443"/>
        <v>0</v>
      </c>
      <c r="AI760" s="159">
        <f t="shared" si="443"/>
        <v>0</v>
      </c>
      <c r="AJ760" s="159">
        <f t="shared" si="443"/>
        <v>0</v>
      </c>
      <c r="AK760" s="159">
        <f t="shared" si="443"/>
        <v>0</v>
      </c>
      <c r="AL760" s="159">
        <f t="shared" si="443"/>
        <v>0</v>
      </c>
      <c r="AM760" s="159">
        <f t="shared" si="443"/>
        <v>0</v>
      </c>
      <c r="AN760" s="159">
        <f t="shared" si="443"/>
        <v>0</v>
      </c>
      <c r="AO760" s="159">
        <f t="shared" si="443"/>
        <v>0</v>
      </c>
      <c r="AP760" s="159">
        <f t="shared" si="443"/>
        <v>0</v>
      </c>
    </row>
    <row r="761" spans="1:42" x14ac:dyDescent="0.2">
      <c r="A761" s="4">
        <f t="shared" si="440"/>
        <v>6</v>
      </c>
      <c r="B761" s="181">
        <f t="shared" si="437"/>
        <v>0</v>
      </c>
      <c r="C761" s="159">
        <f t="shared" ref="C761:AP761" si="444">IF(AND(C$2&gt;equip3_reserve_freq*$A748,C$2&lt;=equip3_reserve_freq*$A749),$B749/(equip3_reserve_freq),0)</f>
        <v>0</v>
      </c>
      <c r="D761" s="159">
        <f t="shared" si="444"/>
        <v>0</v>
      </c>
      <c r="E761" s="159">
        <f t="shared" si="444"/>
        <v>0</v>
      </c>
      <c r="F761" s="159">
        <f t="shared" si="444"/>
        <v>0</v>
      </c>
      <c r="G761" s="159">
        <f t="shared" si="444"/>
        <v>0</v>
      </c>
      <c r="H761" s="159">
        <f t="shared" si="444"/>
        <v>0</v>
      </c>
      <c r="I761" s="159">
        <f t="shared" si="444"/>
        <v>0</v>
      </c>
      <c r="J761" s="159">
        <f t="shared" si="444"/>
        <v>0</v>
      </c>
      <c r="K761" s="159">
        <f t="shared" si="444"/>
        <v>0</v>
      </c>
      <c r="L761" s="159">
        <f t="shared" si="444"/>
        <v>0</v>
      </c>
      <c r="M761" s="159">
        <f t="shared" si="444"/>
        <v>0</v>
      </c>
      <c r="N761" s="159">
        <f t="shared" si="444"/>
        <v>0</v>
      </c>
      <c r="O761" s="159">
        <f t="shared" si="444"/>
        <v>0</v>
      </c>
      <c r="P761" s="159">
        <f t="shared" si="444"/>
        <v>0</v>
      </c>
      <c r="Q761" s="159">
        <f t="shared" si="444"/>
        <v>0</v>
      </c>
      <c r="R761" s="159">
        <f t="shared" si="444"/>
        <v>0</v>
      </c>
      <c r="S761" s="159">
        <f t="shared" si="444"/>
        <v>0</v>
      </c>
      <c r="T761" s="159">
        <f t="shared" si="444"/>
        <v>0</v>
      </c>
      <c r="U761" s="159">
        <f t="shared" si="444"/>
        <v>0</v>
      </c>
      <c r="V761" s="159">
        <f t="shared" si="444"/>
        <v>0</v>
      </c>
      <c r="W761" s="159">
        <f t="shared" si="444"/>
        <v>0</v>
      </c>
      <c r="X761" s="159">
        <f t="shared" si="444"/>
        <v>0</v>
      </c>
      <c r="Y761" s="159">
        <f t="shared" si="444"/>
        <v>0</v>
      </c>
      <c r="Z761" s="159">
        <f t="shared" si="444"/>
        <v>0</v>
      </c>
      <c r="AA761" s="159">
        <f t="shared" si="444"/>
        <v>0</v>
      </c>
      <c r="AB761" s="159">
        <f t="shared" si="444"/>
        <v>0</v>
      </c>
      <c r="AC761" s="159">
        <f t="shared" si="444"/>
        <v>0</v>
      </c>
      <c r="AD761" s="159">
        <f t="shared" si="444"/>
        <v>0</v>
      </c>
      <c r="AE761" s="159">
        <f t="shared" si="444"/>
        <v>0</v>
      </c>
      <c r="AF761" s="159">
        <f t="shared" si="444"/>
        <v>0</v>
      </c>
      <c r="AG761" s="159">
        <f t="shared" si="444"/>
        <v>0</v>
      </c>
      <c r="AH761" s="159">
        <f t="shared" si="444"/>
        <v>0</v>
      </c>
      <c r="AI761" s="159">
        <f t="shared" si="444"/>
        <v>0</v>
      </c>
      <c r="AJ761" s="159">
        <f t="shared" si="444"/>
        <v>0</v>
      </c>
      <c r="AK761" s="159">
        <f t="shared" si="444"/>
        <v>0</v>
      </c>
      <c r="AL761" s="159">
        <f t="shared" si="444"/>
        <v>0</v>
      </c>
      <c r="AM761" s="159">
        <f t="shared" si="444"/>
        <v>0</v>
      </c>
      <c r="AN761" s="159">
        <f t="shared" si="444"/>
        <v>0</v>
      </c>
      <c r="AO761" s="159">
        <f t="shared" si="444"/>
        <v>0</v>
      </c>
      <c r="AP761" s="159">
        <f t="shared" si="444"/>
        <v>0</v>
      </c>
    </row>
    <row r="762" spans="1:42" x14ac:dyDescent="0.2">
      <c r="A762" s="4">
        <f t="shared" si="440"/>
        <v>7</v>
      </c>
      <c r="B762" s="181">
        <f t="shared" si="437"/>
        <v>0</v>
      </c>
      <c r="C762" s="159">
        <f t="shared" ref="C762:AP762" si="445">IF(AND(C$2&gt;equip3_reserve_freq*$A749,C$2&lt;=equip3_reserve_freq*$A750),$B750/(equip3_reserve_freq),0)</f>
        <v>0</v>
      </c>
      <c r="D762" s="159">
        <f t="shared" si="445"/>
        <v>0</v>
      </c>
      <c r="E762" s="159">
        <f t="shared" si="445"/>
        <v>0</v>
      </c>
      <c r="F762" s="159">
        <f t="shared" si="445"/>
        <v>0</v>
      </c>
      <c r="G762" s="159">
        <f t="shared" si="445"/>
        <v>0</v>
      </c>
      <c r="H762" s="159">
        <f t="shared" si="445"/>
        <v>0</v>
      </c>
      <c r="I762" s="159">
        <f t="shared" si="445"/>
        <v>0</v>
      </c>
      <c r="J762" s="159">
        <f t="shared" si="445"/>
        <v>0</v>
      </c>
      <c r="K762" s="159">
        <f t="shared" si="445"/>
        <v>0</v>
      </c>
      <c r="L762" s="159">
        <f t="shared" si="445"/>
        <v>0</v>
      </c>
      <c r="M762" s="159">
        <f t="shared" si="445"/>
        <v>0</v>
      </c>
      <c r="N762" s="159">
        <f t="shared" si="445"/>
        <v>0</v>
      </c>
      <c r="O762" s="159">
        <f t="shared" si="445"/>
        <v>0</v>
      </c>
      <c r="P762" s="159">
        <f t="shared" si="445"/>
        <v>0</v>
      </c>
      <c r="Q762" s="159">
        <f t="shared" si="445"/>
        <v>0</v>
      </c>
      <c r="R762" s="159">
        <f t="shared" si="445"/>
        <v>0</v>
      </c>
      <c r="S762" s="159">
        <f t="shared" si="445"/>
        <v>0</v>
      </c>
      <c r="T762" s="159">
        <f t="shared" si="445"/>
        <v>0</v>
      </c>
      <c r="U762" s="159">
        <f t="shared" si="445"/>
        <v>0</v>
      </c>
      <c r="V762" s="159">
        <f t="shared" si="445"/>
        <v>0</v>
      </c>
      <c r="W762" s="159">
        <f t="shared" si="445"/>
        <v>0</v>
      </c>
      <c r="X762" s="159">
        <f t="shared" si="445"/>
        <v>0</v>
      </c>
      <c r="Y762" s="159">
        <f t="shared" si="445"/>
        <v>0</v>
      </c>
      <c r="Z762" s="159">
        <f t="shared" si="445"/>
        <v>0</v>
      </c>
      <c r="AA762" s="159">
        <f t="shared" si="445"/>
        <v>0</v>
      </c>
      <c r="AB762" s="159">
        <f t="shared" si="445"/>
        <v>0</v>
      </c>
      <c r="AC762" s="159">
        <f t="shared" si="445"/>
        <v>0</v>
      </c>
      <c r="AD762" s="159">
        <f t="shared" si="445"/>
        <v>0</v>
      </c>
      <c r="AE762" s="159">
        <f t="shared" si="445"/>
        <v>0</v>
      </c>
      <c r="AF762" s="159">
        <f t="shared" si="445"/>
        <v>0</v>
      </c>
      <c r="AG762" s="159">
        <f t="shared" si="445"/>
        <v>0</v>
      </c>
      <c r="AH762" s="159">
        <f t="shared" si="445"/>
        <v>0</v>
      </c>
      <c r="AI762" s="159">
        <f t="shared" si="445"/>
        <v>0</v>
      </c>
      <c r="AJ762" s="159">
        <f t="shared" si="445"/>
        <v>0</v>
      </c>
      <c r="AK762" s="159">
        <f t="shared" si="445"/>
        <v>0</v>
      </c>
      <c r="AL762" s="159">
        <f t="shared" si="445"/>
        <v>0</v>
      </c>
      <c r="AM762" s="159">
        <f t="shared" si="445"/>
        <v>0</v>
      </c>
      <c r="AN762" s="159">
        <f t="shared" si="445"/>
        <v>0</v>
      </c>
      <c r="AO762" s="159">
        <f t="shared" si="445"/>
        <v>0</v>
      </c>
      <c r="AP762" s="159">
        <f t="shared" si="445"/>
        <v>0</v>
      </c>
    </row>
    <row r="763" spans="1:42" x14ac:dyDescent="0.2">
      <c r="A763" s="4">
        <f t="shared" si="440"/>
        <v>8</v>
      </c>
      <c r="B763" s="181">
        <f t="shared" si="437"/>
        <v>0</v>
      </c>
      <c r="C763" s="159">
        <f t="shared" ref="C763:AP763" si="446">IF(AND(C$2&gt;equip3_reserve_freq*$A750,C$2&lt;=equip3_reserve_freq*$A751),$B751/(equip3_reserve_freq),0)</f>
        <v>0</v>
      </c>
      <c r="D763" s="159">
        <f t="shared" si="446"/>
        <v>0</v>
      </c>
      <c r="E763" s="159">
        <f t="shared" si="446"/>
        <v>0</v>
      </c>
      <c r="F763" s="159">
        <f t="shared" si="446"/>
        <v>0</v>
      </c>
      <c r="G763" s="159">
        <f t="shared" si="446"/>
        <v>0</v>
      </c>
      <c r="H763" s="159">
        <f t="shared" si="446"/>
        <v>0</v>
      </c>
      <c r="I763" s="159">
        <f t="shared" si="446"/>
        <v>0</v>
      </c>
      <c r="J763" s="159">
        <f t="shared" si="446"/>
        <v>0</v>
      </c>
      <c r="K763" s="159">
        <f t="shared" si="446"/>
        <v>0</v>
      </c>
      <c r="L763" s="159">
        <f t="shared" si="446"/>
        <v>0</v>
      </c>
      <c r="M763" s="159">
        <f t="shared" si="446"/>
        <v>0</v>
      </c>
      <c r="N763" s="159">
        <f t="shared" si="446"/>
        <v>0</v>
      </c>
      <c r="O763" s="159">
        <f t="shared" si="446"/>
        <v>0</v>
      </c>
      <c r="P763" s="159">
        <f t="shared" si="446"/>
        <v>0</v>
      </c>
      <c r="Q763" s="159">
        <f t="shared" si="446"/>
        <v>0</v>
      </c>
      <c r="R763" s="159">
        <f t="shared" si="446"/>
        <v>0</v>
      </c>
      <c r="S763" s="159">
        <f t="shared" si="446"/>
        <v>0</v>
      </c>
      <c r="T763" s="159">
        <f t="shared" si="446"/>
        <v>0</v>
      </c>
      <c r="U763" s="159">
        <f t="shared" si="446"/>
        <v>0</v>
      </c>
      <c r="V763" s="159">
        <f t="shared" si="446"/>
        <v>0</v>
      </c>
      <c r="W763" s="159">
        <f t="shared" si="446"/>
        <v>0</v>
      </c>
      <c r="X763" s="159">
        <f t="shared" si="446"/>
        <v>0</v>
      </c>
      <c r="Y763" s="159">
        <f t="shared" si="446"/>
        <v>0</v>
      </c>
      <c r="Z763" s="159">
        <f t="shared" si="446"/>
        <v>0</v>
      </c>
      <c r="AA763" s="159">
        <f t="shared" si="446"/>
        <v>0</v>
      </c>
      <c r="AB763" s="159">
        <f t="shared" si="446"/>
        <v>0</v>
      </c>
      <c r="AC763" s="159">
        <f t="shared" si="446"/>
        <v>0</v>
      </c>
      <c r="AD763" s="159">
        <f t="shared" si="446"/>
        <v>0</v>
      </c>
      <c r="AE763" s="159">
        <f t="shared" si="446"/>
        <v>0</v>
      </c>
      <c r="AF763" s="159">
        <f t="shared" si="446"/>
        <v>0</v>
      </c>
      <c r="AG763" s="159">
        <f t="shared" si="446"/>
        <v>0</v>
      </c>
      <c r="AH763" s="159">
        <f t="shared" si="446"/>
        <v>0</v>
      </c>
      <c r="AI763" s="159">
        <f t="shared" si="446"/>
        <v>0</v>
      </c>
      <c r="AJ763" s="159">
        <f t="shared" si="446"/>
        <v>0</v>
      </c>
      <c r="AK763" s="159">
        <f t="shared" si="446"/>
        <v>0</v>
      </c>
      <c r="AL763" s="159">
        <f t="shared" si="446"/>
        <v>0</v>
      </c>
      <c r="AM763" s="159">
        <f t="shared" si="446"/>
        <v>0</v>
      </c>
      <c r="AN763" s="159">
        <f t="shared" si="446"/>
        <v>0</v>
      </c>
      <c r="AO763" s="159">
        <f t="shared" si="446"/>
        <v>0</v>
      </c>
      <c r="AP763" s="159">
        <f t="shared" si="446"/>
        <v>0</v>
      </c>
    </row>
    <row r="764" spans="1:42" x14ac:dyDescent="0.2">
      <c r="A764" s="4">
        <f>A763+1</f>
        <v>9</v>
      </c>
      <c r="B764" s="181">
        <f t="shared" si="437"/>
        <v>0</v>
      </c>
      <c r="C764" s="159">
        <f t="shared" ref="C764:AP764" si="447">IF(AND(C$2&gt;equip3_reserve_freq*$A751,C$2&lt;=equip3_reserve_freq*$A752),$B752/(equip3_reserve_freq),0)</f>
        <v>0</v>
      </c>
      <c r="D764" s="159">
        <f t="shared" si="447"/>
        <v>0</v>
      </c>
      <c r="E764" s="159">
        <f t="shared" si="447"/>
        <v>0</v>
      </c>
      <c r="F764" s="159">
        <f t="shared" si="447"/>
        <v>0</v>
      </c>
      <c r="G764" s="159">
        <f t="shared" si="447"/>
        <v>0</v>
      </c>
      <c r="H764" s="159">
        <f t="shared" si="447"/>
        <v>0</v>
      </c>
      <c r="I764" s="159">
        <f t="shared" si="447"/>
        <v>0</v>
      </c>
      <c r="J764" s="159">
        <f t="shared" si="447"/>
        <v>0</v>
      </c>
      <c r="K764" s="159">
        <f t="shared" si="447"/>
        <v>0</v>
      </c>
      <c r="L764" s="159">
        <f t="shared" si="447"/>
        <v>0</v>
      </c>
      <c r="M764" s="159">
        <f t="shared" si="447"/>
        <v>0</v>
      </c>
      <c r="N764" s="159">
        <f t="shared" si="447"/>
        <v>0</v>
      </c>
      <c r="O764" s="159">
        <f t="shared" si="447"/>
        <v>0</v>
      </c>
      <c r="P764" s="159">
        <f t="shared" si="447"/>
        <v>0</v>
      </c>
      <c r="Q764" s="159">
        <f t="shared" si="447"/>
        <v>0</v>
      </c>
      <c r="R764" s="159">
        <f t="shared" si="447"/>
        <v>0</v>
      </c>
      <c r="S764" s="159">
        <f t="shared" si="447"/>
        <v>0</v>
      </c>
      <c r="T764" s="159">
        <f t="shared" si="447"/>
        <v>0</v>
      </c>
      <c r="U764" s="159">
        <f t="shared" si="447"/>
        <v>0</v>
      </c>
      <c r="V764" s="159">
        <f t="shared" si="447"/>
        <v>0</v>
      </c>
      <c r="W764" s="159">
        <f t="shared" si="447"/>
        <v>0</v>
      </c>
      <c r="X764" s="159">
        <f t="shared" si="447"/>
        <v>0</v>
      </c>
      <c r="Y764" s="159">
        <f t="shared" si="447"/>
        <v>0</v>
      </c>
      <c r="Z764" s="159">
        <f t="shared" si="447"/>
        <v>0</v>
      </c>
      <c r="AA764" s="159">
        <f t="shared" si="447"/>
        <v>0</v>
      </c>
      <c r="AB764" s="159">
        <f t="shared" si="447"/>
        <v>0</v>
      </c>
      <c r="AC764" s="159">
        <f t="shared" si="447"/>
        <v>0</v>
      </c>
      <c r="AD764" s="159">
        <f t="shared" si="447"/>
        <v>0</v>
      </c>
      <c r="AE764" s="159">
        <f t="shared" si="447"/>
        <v>0</v>
      </c>
      <c r="AF764" s="159">
        <f t="shared" si="447"/>
        <v>0</v>
      </c>
      <c r="AG764" s="159">
        <f t="shared" si="447"/>
        <v>0</v>
      </c>
      <c r="AH764" s="159">
        <f t="shared" si="447"/>
        <v>0</v>
      </c>
      <c r="AI764" s="159">
        <f t="shared" si="447"/>
        <v>0</v>
      </c>
      <c r="AJ764" s="159">
        <f t="shared" si="447"/>
        <v>0</v>
      </c>
      <c r="AK764" s="159">
        <f t="shared" si="447"/>
        <v>0</v>
      </c>
      <c r="AL764" s="159">
        <f t="shared" si="447"/>
        <v>0</v>
      </c>
      <c r="AM764" s="159">
        <f t="shared" si="447"/>
        <v>0</v>
      </c>
      <c r="AN764" s="159">
        <f t="shared" si="447"/>
        <v>0</v>
      </c>
      <c r="AO764" s="159">
        <f t="shared" si="447"/>
        <v>0</v>
      </c>
      <c r="AP764" s="159">
        <f t="shared" si="447"/>
        <v>0</v>
      </c>
    </row>
    <row r="765" spans="1:42" x14ac:dyDescent="0.2">
      <c r="A765" s="4">
        <f t="shared" ref="A765" si="448">A764+1</f>
        <v>10</v>
      </c>
      <c r="B765" s="181">
        <f t="shared" si="437"/>
        <v>0</v>
      </c>
      <c r="C765" s="160">
        <f t="shared" ref="C765:AP765" si="449">IF(AND(C$2&gt;equip3_reserve_freq*$A752,C$2&lt;=equip3_reserve_freq*$A753),$B753/(equip3_reserve_freq),0)</f>
        <v>0</v>
      </c>
      <c r="D765" s="160">
        <f t="shared" si="449"/>
        <v>0</v>
      </c>
      <c r="E765" s="160">
        <f t="shared" si="449"/>
        <v>0</v>
      </c>
      <c r="F765" s="160">
        <f t="shared" si="449"/>
        <v>0</v>
      </c>
      <c r="G765" s="160">
        <f t="shared" si="449"/>
        <v>0</v>
      </c>
      <c r="H765" s="160">
        <f t="shared" si="449"/>
        <v>0</v>
      </c>
      <c r="I765" s="160">
        <f t="shared" si="449"/>
        <v>0</v>
      </c>
      <c r="J765" s="160">
        <f t="shared" si="449"/>
        <v>0</v>
      </c>
      <c r="K765" s="160">
        <f t="shared" si="449"/>
        <v>0</v>
      </c>
      <c r="L765" s="160">
        <f t="shared" si="449"/>
        <v>0</v>
      </c>
      <c r="M765" s="160">
        <f t="shared" si="449"/>
        <v>0</v>
      </c>
      <c r="N765" s="160">
        <f t="shared" si="449"/>
        <v>0</v>
      </c>
      <c r="O765" s="160">
        <f t="shared" si="449"/>
        <v>0</v>
      </c>
      <c r="P765" s="160">
        <f t="shared" si="449"/>
        <v>0</v>
      </c>
      <c r="Q765" s="160">
        <f t="shared" si="449"/>
        <v>0</v>
      </c>
      <c r="R765" s="160">
        <f t="shared" si="449"/>
        <v>0</v>
      </c>
      <c r="S765" s="160">
        <f t="shared" si="449"/>
        <v>0</v>
      </c>
      <c r="T765" s="160">
        <f t="shared" si="449"/>
        <v>0</v>
      </c>
      <c r="U765" s="160">
        <f t="shared" si="449"/>
        <v>0</v>
      </c>
      <c r="V765" s="160">
        <f t="shared" si="449"/>
        <v>0</v>
      </c>
      <c r="W765" s="160">
        <f t="shared" si="449"/>
        <v>0</v>
      </c>
      <c r="X765" s="160">
        <f t="shared" si="449"/>
        <v>0</v>
      </c>
      <c r="Y765" s="160">
        <f t="shared" si="449"/>
        <v>0</v>
      </c>
      <c r="Z765" s="160">
        <f t="shared" si="449"/>
        <v>0</v>
      </c>
      <c r="AA765" s="160">
        <f t="shared" si="449"/>
        <v>0</v>
      </c>
      <c r="AB765" s="160">
        <f t="shared" si="449"/>
        <v>0</v>
      </c>
      <c r="AC765" s="160">
        <f t="shared" si="449"/>
        <v>0</v>
      </c>
      <c r="AD765" s="160">
        <f t="shared" si="449"/>
        <v>0</v>
      </c>
      <c r="AE765" s="160">
        <f t="shared" si="449"/>
        <v>0</v>
      </c>
      <c r="AF765" s="160">
        <f t="shared" si="449"/>
        <v>0</v>
      </c>
      <c r="AG765" s="160">
        <f t="shared" si="449"/>
        <v>0</v>
      </c>
      <c r="AH765" s="160">
        <f t="shared" si="449"/>
        <v>0</v>
      </c>
      <c r="AI765" s="160">
        <f t="shared" si="449"/>
        <v>0</v>
      </c>
      <c r="AJ765" s="160">
        <f t="shared" si="449"/>
        <v>0</v>
      </c>
      <c r="AK765" s="160">
        <f t="shared" si="449"/>
        <v>0</v>
      </c>
      <c r="AL765" s="160">
        <f t="shared" si="449"/>
        <v>0</v>
      </c>
      <c r="AM765" s="160">
        <f t="shared" si="449"/>
        <v>0</v>
      </c>
      <c r="AN765" s="160">
        <f t="shared" si="449"/>
        <v>0</v>
      </c>
      <c r="AO765" s="160">
        <f t="shared" si="449"/>
        <v>0</v>
      </c>
      <c r="AP765" s="160">
        <f t="shared" si="449"/>
        <v>0</v>
      </c>
    </row>
    <row r="766" spans="1:42" x14ac:dyDescent="0.2">
      <c r="A766" s="27" t="s">
        <v>13</v>
      </c>
      <c r="B766" s="15"/>
      <c r="C766" s="159">
        <f>SUM(C756:C765)</f>
        <v>0</v>
      </c>
      <c r="D766" s="159">
        <f t="shared" ref="D766:AP766" si="450">SUM(D756:D765)</f>
        <v>0</v>
      </c>
      <c r="E766" s="159">
        <f t="shared" si="450"/>
        <v>0</v>
      </c>
      <c r="F766" s="159">
        <f t="shared" si="450"/>
        <v>0</v>
      </c>
      <c r="G766" s="159">
        <f t="shared" si="450"/>
        <v>0</v>
      </c>
      <c r="H766" s="159">
        <f t="shared" si="450"/>
        <v>0</v>
      </c>
      <c r="I766" s="159">
        <f t="shared" si="450"/>
        <v>0</v>
      </c>
      <c r="J766" s="159">
        <f t="shared" si="450"/>
        <v>0</v>
      </c>
      <c r="K766" s="159">
        <f t="shared" si="450"/>
        <v>0</v>
      </c>
      <c r="L766" s="159">
        <f t="shared" si="450"/>
        <v>0</v>
      </c>
      <c r="M766" s="159">
        <f t="shared" si="450"/>
        <v>0</v>
      </c>
      <c r="N766" s="159">
        <f t="shared" si="450"/>
        <v>0</v>
      </c>
      <c r="O766" s="159">
        <f t="shared" si="450"/>
        <v>0</v>
      </c>
      <c r="P766" s="159">
        <f t="shared" si="450"/>
        <v>0</v>
      </c>
      <c r="Q766" s="159">
        <f t="shared" si="450"/>
        <v>0</v>
      </c>
      <c r="R766" s="159">
        <f t="shared" si="450"/>
        <v>0</v>
      </c>
      <c r="S766" s="159">
        <f t="shared" si="450"/>
        <v>0</v>
      </c>
      <c r="T766" s="159">
        <f t="shared" si="450"/>
        <v>0</v>
      </c>
      <c r="U766" s="159">
        <f t="shared" si="450"/>
        <v>0</v>
      </c>
      <c r="V766" s="159">
        <f t="shared" si="450"/>
        <v>0</v>
      </c>
      <c r="W766" s="159">
        <f t="shared" si="450"/>
        <v>0</v>
      </c>
      <c r="X766" s="159">
        <f t="shared" si="450"/>
        <v>0</v>
      </c>
      <c r="Y766" s="159">
        <f t="shared" si="450"/>
        <v>0</v>
      </c>
      <c r="Z766" s="159">
        <f t="shared" si="450"/>
        <v>0</v>
      </c>
      <c r="AA766" s="159">
        <f t="shared" si="450"/>
        <v>0</v>
      </c>
      <c r="AB766" s="159">
        <f t="shared" si="450"/>
        <v>0</v>
      </c>
      <c r="AC766" s="159">
        <f t="shared" si="450"/>
        <v>0</v>
      </c>
      <c r="AD766" s="159">
        <f t="shared" si="450"/>
        <v>0</v>
      </c>
      <c r="AE766" s="159">
        <f t="shared" si="450"/>
        <v>0</v>
      </c>
      <c r="AF766" s="159">
        <f t="shared" si="450"/>
        <v>0</v>
      </c>
      <c r="AG766" s="159">
        <f t="shared" si="450"/>
        <v>0</v>
      </c>
      <c r="AH766" s="159">
        <f t="shared" si="450"/>
        <v>0</v>
      </c>
      <c r="AI766" s="159">
        <f t="shared" si="450"/>
        <v>0</v>
      </c>
      <c r="AJ766" s="159">
        <f t="shared" si="450"/>
        <v>0</v>
      </c>
      <c r="AK766" s="159">
        <f t="shared" si="450"/>
        <v>0</v>
      </c>
      <c r="AL766" s="159">
        <f t="shared" si="450"/>
        <v>0</v>
      </c>
      <c r="AM766" s="159">
        <f t="shared" si="450"/>
        <v>0</v>
      </c>
      <c r="AN766" s="159">
        <f t="shared" si="450"/>
        <v>0</v>
      </c>
      <c r="AO766" s="159">
        <f t="shared" si="450"/>
        <v>0</v>
      </c>
      <c r="AP766" s="159">
        <f t="shared" si="450"/>
        <v>0</v>
      </c>
    </row>
    <row r="767" spans="1:42" x14ac:dyDescent="0.2">
      <c r="A767" s="27"/>
      <c r="B767" s="15"/>
      <c r="C767" s="159"/>
      <c r="D767" s="159"/>
      <c r="E767" s="159"/>
      <c r="F767" s="159"/>
      <c r="G767" s="159"/>
      <c r="H767" s="159"/>
      <c r="I767" s="159"/>
      <c r="J767" s="159"/>
      <c r="K767" s="159"/>
      <c r="L767" s="159"/>
      <c r="M767" s="159"/>
      <c r="N767" s="159"/>
      <c r="O767" s="159"/>
      <c r="P767" s="159"/>
      <c r="Q767" s="159"/>
      <c r="R767" s="159"/>
      <c r="S767" s="159"/>
      <c r="T767" s="159"/>
      <c r="U767" s="159"/>
      <c r="V767" s="159"/>
      <c r="W767" s="159"/>
      <c r="X767" s="159"/>
      <c r="Y767" s="159"/>
      <c r="Z767" s="159"/>
      <c r="AA767" s="159"/>
      <c r="AB767" s="159"/>
      <c r="AC767" s="159"/>
      <c r="AD767" s="159"/>
      <c r="AE767" s="159"/>
      <c r="AF767" s="159"/>
      <c r="AG767" s="159"/>
      <c r="AH767" s="159"/>
      <c r="AI767" s="159"/>
      <c r="AJ767" s="159"/>
      <c r="AK767" s="159"/>
      <c r="AL767" s="159"/>
      <c r="AM767" s="159"/>
      <c r="AN767" s="159"/>
      <c r="AO767" s="159"/>
      <c r="AP767" s="159"/>
    </row>
    <row r="768" spans="1:42" x14ac:dyDescent="0.2">
      <c r="A768" s="4" t="s">
        <v>351</v>
      </c>
    </row>
    <row r="769" spans="1:42" x14ac:dyDescent="0.2">
      <c r="A769" s="22" t="s">
        <v>349</v>
      </c>
      <c r="B769" s="159">
        <f>B658+B670+B676+B708+B740</f>
        <v>750000</v>
      </c>
      <c r="C769" s="159">
        <f t="shared" ref="C769:AP769" si="451">C658+C670+C676+C708+C740</f>
        <v>1710732.5473158439</v>
      </c>
      <c r="D769" s="159">
        <f t="shared" si="451"/>
        <v>2671933.8446316877</v>
      </c>
      <c r="E769" s="159">
        <f t="shared" si="451"/>
        <v>3633615.6106975321</v>
      </c>
      <c r="F769" s="159">
        <f t="shared" si="451"/>
        <v>4595789.8572321255</v>
      </c>
      <c r="G769" s="159">
        <f t="shared" si="451"/>
        <v>5558468.8962471876</v>
      </c>
      <c r="H769" s="159">
        <f t="shared" si="451"/>
        <v>6521665.3475547321</v>
      </c>
      <c r="I769" s="159">
        <f t="shared" si="451"/>
        <v>7485392.146462068</v>
      </c>
      <c r="J769" s="159">
        <f t="shared" si="451"/>
        <v>8449662.551659191</v>
      </c>
      <c r="K769" s="159">
        <f t="shared" si="451"/>
        <v>9414490.1533033457</v>
      </c>
      <c r="L769" s="159">
        <f t="shared" si="451"/>
        <v>10379888.881305708</v>
      </c>
      <c r="M769" s="159">
        <f t="shared" si="451"/>
        <v>11345873.013825232</v>
      </c>
      <c r="N769" s="159">
        <f t="shared" si="451"/>
        <v>12312457.185974849</v>
      </c>
      <c r="O769" s="159">
        <f t="shared" si="451"/>
        <v>13279656.398745311</v>
      </c>
      <c r="P769" s="159">
        <f t="shared" si="451"/>
        <v>14247486.028152138</v>
      </c>
      <c r="Q769" s="159">
        <f t="shared" si="451"/>
        <v>1086223.6248735827</v>
      </c>
      <c r="R769" s="159">
        <f t="shared" si="451"/>
        <v>1113379.2154954222</v>
      </c>
      <c r="S769" s="159">
        <f t="shared" si="451"/>
        <v>1141213.695882808</v>
      </c>
      <c r="T769" s="159">
        <f t="shared" si="451"/>
        <v>1169744.0382798782</v>
      </c>
      <c r="U769" s="159">
        <f t="shared" si="451"/>
        <v>1198987.6392368751</v>
      </c>
      <c r="V769" s="159">
        <f t="shared" si="451"/>
        <v>1228962.3302177966</v>
      </c>
      <c r="W769" s="159">
        <f t="shared" si="451"/>
        <v>1259686.3884732414</v>
      </c>
      <c r="X769" s="159">
        <f t="shared" si="451"/>
        <v>1291178.5481850724</v>
      </c>
      <c r="Y769" s="159">
        <f t="shared" si="451"/>
        <v>1323458.0118896994</v>
      </c>
      <c r="Z769" s="159">
        <f t="shared" si="451"/>
        <v>1356544.4621869416</v>
      </c>
      <c r="AA769" s="159">
        <f t="shared" si="451"/>
        <v>0</v>
      </c>
      <c r="AB769" s="159">
        <f t="shared" si="451"/>
        <v>0</v>
      </c>
      <c r="AC769" s="159">
        <f t="shared" si="451"/>
        <v>0</v>
      </c>
      <c r="AD769" s="159">
        <f t="shared" si="451"/>
        <v>0</v>
      </c>
      <c r="AE769" s="159">
        <f t="shared" si="451"/>
        <v>0</v>
      </c>
      <c r="AF769" s="159">
        <f t="shared" si="451"/>
        <v>0</v>
      </c>
      <c r="AG769" s="159">
        <f t="shared" si="451"/>
        <v>0</v>
      </c>
      <c r="AH769" s="159">
        <f t="shared" si="451"/>
        <v>0</v>
      </c>
      <c r="AI769" s="159">
        <f t="shared" si="451"/>
        <v>0</v>
      </c>
      <c r="AJ769" s="159">
        <f t="shared" si="451"/>
        <v>0</v>
      </c>
      <c r="AK769" s="159">
        <f t="shared" si="451"/>
        <v>0</v>
      </c>
      <c r="AL769" s="159">
        <f t="shared" si="451"/>
        <v>0</v>
      </c>
      <c r="AM769" s="159">
        <f t="shared" si="451"/>
        <v>0</v>
      </c>
      <c r="AN769" s="159">
        <f t="shared" si="451"/>
        <v>0</v>
      </c>
      <c r="AO769" s="159">
        <f t="shared" si="451"/>
        <v>0</v>
      </c>
      <c r="AP769" s="159">
        <f t="shared" si="451"/>
        <v>0</v>
      </c>
    </row>
    <row r="770" spans="1:42" x14ac:dyDescent="0.2">
      <c r="A770" s="22" t="s">
        <v>348</v>
      </c>
      <c r="B770" s="159">
        <v>0</v>
      </c>
      <c r="C770" s="159">
        <f>IF(C$2&lt;=analysis_period,B769*reserves_interest/100,0)</f>
        <v>9375</v>
      </c>
      <c r="D770" s="159">
        <f t="shared" ref="D770" si="452">IF(D$2&lt;=analysis_period,C769*reserves_interest/100,0)</f>
        <v>21384.156841448046</v>
      </c>
      <c r="E770" s="159">
        <f t="shared" ref="E770" si="453">IF(E$2&lt;=analysis_period,D769*reserves_interest/100,0)</f>
        <v>33399.173057896092</v>
      </c>
      <c r="F770" s="159">
        <f t="shared" ref="F770" si="454">IF(F$2&lt;=analysis_period,E769*reserves_interest/100,0)</f>
        <v>45420.195133719149</v>
      </c>
      <c r="G770" s="159">
        <f t="shared" ref="G770" si="455">IF(G$2&lt;=analysis_period,F769*reserves_interest/100,0)</f>
        <v>57447.373215401567</v>
      </c>
      <c r="H770" s="159">
        <f t="shared" ref="H770" si="456">IF(H$2&lt;=analysis_period,G769*reserves_interest/100,0)</f>
        <v>69480.861203089837</v>
      </c>
      <c r="I770" s="159">
        <f t="shared" ref="I770" si="457">IF(I$2&lt;=analysis_period,H769*reserves_interest/100,0)</f>
        <v>81520.816844434157</v>
      </c>
      <c r="J770" s="159">
        <f t="shared" ref="J770" si="458">IF(J$2&lt;=analysis_period,I769*reserves_interest/100,0)</f>
        <v>93567.401830775852</v>
      </c>
      <c r="K770" s="159">
        <f t="shared" ref="K770" si="459">IF(K$2&lt;=analysis_period,J769*reserves_interest/100,0)</f>
        <v>105620.78189573988</v>
      </c>
      <c r="L770" s="159">
        <f t="shared" ref="L770" si="460">IF(L$2&lt;=analysis_period,K769*reserves_interest/100,0)</f>
        <v>117681.12691629183</v>
      </c>
      <c r="M770" s="159">
        <f t="shared" ref="M770" si="461">IF(M$2&lt;=analysis_period,L769*reserves_interest/100,0)</f>
        <v>129748.61101632135</v>
      </c>
      <c r="N770" s="159">
        <f t="shared" ref="N770" si="462">IF(N$2&lt;=analysis_period,M769*reserves_interest/100,0)</f>
        <v>141823.41267281541</v>
      </c>
      <c r="O770" s="159">
        <f t="shared" ref="O770" si="463">IF(O$2&lt;=analysis_period,N769*reserves_interest/100,0)</f>
        <v>153905.71482468562</v>
      </c>
      <c r="P770" s="159">
        <f t="shared" ref="P770" si="464">IF(P$2&lt;=analysis_period,O769*reserves_interest/100,0)</f>
        <v>165995.7049843164</v>
      </c>
      <c r="Q770" s="159">
        <f t="shared" ref="Q770" si="465">IF(Q$2&lt;=analysis_period,P769*reserves_interest/100,0)</f>
        <v>178093.57535190173</v>
      </c>
      <c r="R770" s="159">
        <f t="shared" ref="R770" si="466">IF(R$2&lt;=analysis_period,Q769*reserves_interest/100,0)</f>
        <v>13577.795310919782</v>
      </c>
      <c r="S770" s="159">
        <f t="shared" ref="S770" si="467">IF(S$2&lt;=analysis_period,R769*reserves_interest/100,0)</f>
        <v>13917.240193692778</v>
      </c>
      <c r="T770" s="159">
        <f t="shared" ref="T770" si="468">IF(T$2&lt;=analysis_period,S769*reserves_interest/100,0)</f>
        <v>14265.171198535101</v>
      </c>
      <c r="U770" s="159">
        <f t="shared" ref="U770" si="469">IF(U$2&lt;=analysis_period,T769*reserves_interest/100,0)</f>
        <v>14621.800478498477</v>
      </c>
      <c r="V770" s="159">
        <f t="shared" ref="V770" si="470">IF(V$2&lt;=analysis_period,U769*reserves_interest/100,0)</f>
        <v>14987.345490460939</v>
      </c>
      <c r="W770" s="159">
        <f t="shared" ref="W770" si="471">IF(W$2&lt;=analysis_period,V769*reserves_interest/100,0)</f>
        <v>15362.029127722457</v>
      </c>
      <c r="X770" s="159">
        <f t="shared" ref="X770" si="472">IF(X$2&lt;=analysis_period,W769*reserves_interest/100,0)</f>
        <v>15746.079855915517</v>
      </c>
      <c r="Y770" s="159">
        <f t="shared" ref="Y770" si="473">IF(Y$2&lt;=analysis_period,X769*reserves_interest/100,0)</f>
        <v>16139.731852313405</v>
      </c>
      <c r="Z770" s="159">
        <f t="shared" ref="Z770" si="474">IF(Z$2&lt;=analysis_period,Y769*reserves_interest/100,0)</f>
        <v>16543.225148621244</v>
      </c>
      <c r="AA770" s="159">
        <f t="shared" ref="AA770" si="475">IF(AA$2&lt;=analysis_period,Z769*reserves_interest/100,0)</f>
        <v>16956.805777336773</v>
      </c>
      <c r="AB770" s="159">
        <f t="shared" ref="AB770" si="476">IF(AB$2&lt;=analysis_period,AA769*reserves_interest/100,0)</f>
        <v>0</v>
      </c>
      <c r="AC770" s="159">
        <f t="shared" ref="AC770" si="477">IF(AC$2&lt;=analysis_period,AB769*reserves_interest/100,0)</f>
        <v>0</v>
      </c>
      <c r="AD770" s="159">
        <f t="shared" ref="AD770" si="478">IF(AD$2&lt;=analysis_period,AC769*reserves_interest/100,0)</f>
        <v>0</v>
      </c>
      <c r="AE770" s="159">
        <f t="shared" ref="AE770" si="479">IF(AE$2&lt;=analysis_period,AD769*reserves_interest/100,0)</f>
        <v>0</v>
      </c>
      <c r="AF770" s="159">
        <f t="shared" ref="AF770" si="480">IF(AF$2&lt;=analysis_period,AE769*reserves_interest/100,0)</f>
        <v>0</v>
      </c>
      <c r="AG770" s="159">
        <f t="shared" ref="AG770" si="481">IF(AG$2&lt;=analysis_period,AF769*reserves_interest/100,0)</f>
        <v>0</v>
      </c>
      <c r="AH770" s="159">
        <f t="shared" ref="AH770" si="482">IF(AH$2&lt;=analysis_period,AG769*reserves_interest/100,0)</f>
        <v>0</v>
      </c>
      <c r="AI770" s="159">
        <f t="shared" ref="AI770" si="483">IF(AI$2&lt;=analysis_period,AH769*reserves_interest/100,0)</f>
        <v>0</v>
      </c>
      <c r="AJ770" s="159">
        <f t="shared" ref="AJ770" si="484">IF(AJ$2&lt;=analysis_period,AI769*reserves_interest/100,0)</f>
        <v>0</v>
      </c>
      <c r="AK770" s="159">
        <f t="shared" ref="AK770" si="485">IF(AK$2&lt;=analysis_period,AJ769*reserves_interest/100,0)</f>
        <v>0</v>
      </c>
      <c r="AL770" s="159">
        <f t="shared" ref="AL770" si="486">IF(AL$2&lt;=analysis_period,AK769*reserves_interest/100,0)</f>
        <v>0</v>
      </c>
      <c r="AM770" s="159">
        <f t="shared" ref="AM770" si="487">IF(AM$2&lt;=analysis_period,AL769*reserves_interest/100,0)</f>
        <v>0</v>
      </c>
      <c r="AN770" s="159">
        <f t="shared" ref="AN770" si="488">IF(AN$2&lt;=analysis_period,AM769*reserves_interest/100,0)</f>
        <v>0</v>
      </c>
      <c r="AO770" s="159">
        <f t="shared" ref="AO770" si="489">IF(AO$2&lt;=analysis_period,AN769*reserves_interest/100,0)</f>
        <v>0</v>
      </c>
      <c r="AP770" s="159">
        <f t="shared" ref="AP770" si="490">IF(AP$2&lt;=analysis_period,AO769*reserves_interest/100,0)</f>
        <v>0</v>
      </c>
    </row>
    <row r="771" spans="1:42" x14ac:dyDescent="0.2">
      <c r="A771" s="22"/>
      <c r="B771" s="159"/>
      <c r="C771" s="159"/>
      <c r="D771" s="159"/>
      <c r="E771" s="159"/>
      <c r="F771" s="159"/>
      <c r="G771" s="159"/>
      <c r="H771" s="159"/>
      <c r="I771" s="159"/>
      <c r="J771" s="159"/>
      <c r="K771" s="159"/>
      <c r="L771" s="159"/>
      <c r="M771" s="159"/>
      <c r="N771" s="159"/>
      <c r="O771" s="159"/>
      <c r="P771" s="159"/>
      <c r="Q771" s="159"/>
      <c r="R771" s="159"/>
      <c r="S771" s="159"/>
      <c r="T771" s="159"/>
      <c r="U771" s="159"/>
      <c r="V771" s="159"/>
      <c r="W771" s="159"/>
      <c r="X771" s="159"/>
      <c r="Y771" s="159"/>
      <c r="Z771" s="159"/>
      <c r="AA771" s="159"/>
      <c r="AB771" s="159"/>
      <c r="AC771" s="159"/>
      <c r="AD771" s="159"/>
      <c r="AE771" s="159"/>
      <c r="AF771" s="159"/>
      <c r="AG771" s="159"/>
      <c r="AH771" s="159"/>
      <c r="AI771" s="159"/>
      <c r="AJ771" s="159"/>
      <c r="AK771" s="159"/>
      <c r="AL771" s="159"/>
      <c r="AM771" s="159"/>
      <c r="AN771" s="159"/>
      <c r="AO771" s="159"/>
      <c r="AP771" s="159"/>
    </row>
    <row r="772" spans="1:42" x14ac:dyDescent="0.2">
      <c r="A772" s="4" t="s">
        <v>350</v>
      </c>
    </row>
    <row r="773" spans="1:42" x14ac:dyDescent="0.2">
      <c r="A773" s="22" t="s">
        <v>352</v>
      </c>
      <c r="B773" s="159">
        <f>B664</f>
        <v>2012471.2263420781</v>
      </c>
      <c r="C773" s="159">
        <f t="shared" ref="C773:AP773" si="491">C664</f>
        <v>2012471.2263420781</v>
      </c>
      <c r="D773" s="159">
        <f t="shared" si="491"/>
        <v>2012471.2263420781</v>
      </c>
      <c r="E773" s="159">
        <f t="shared" si="491"/>
        <v>2012471.2263420781</v>
      </c>
      <c r="F773" s="159">
        <f t="shared" si="491"/>
        <v>2012471.2263420781</v>
      </c>
      <c r="G773" s="159">
        <f t="shared" si="491"/>
        <v>2012471.2263420781</v>
      </c>
      <c r="H773" s="159">
        <f t="shared" si="491"/>
        <v>2012471.2263420781</v>
      </c>
      <c r="I773" s="159">
        <f t="shared" si="491"/>
        <v>2012471.2263420781</v>
      </c>
      <c r="J773" s="159">
        <f t="shared" si="491"/>
        <v>2012471.2263420781</v>
      </c>
      <c r="K773" s="159">
        <f t="shared" si="491"/>
        <v>2012471.2263420781</v>
      </c>
      <c r="L773" s="159">
        <f t="shared" si="491"/>
        <v>2012471.2263420781</v>
      </c>
      <c r="M773" s="159">
        <f t="shared" si="491"/>
        <v>2012471.2263420781</v>
      </c>
      <c r="N773" s="159">
        <f t="shared" si="491"/>
        <v>2012471.2263420781</v>
      </c>
      <c r="O773" s="159">
        <f t="shared" si="491"/>
        <v>2012471.2263420781</v>
      </c>
      <c r="P773" s="159">
        <f t="shared" si="491"/>
        <v>2012471.2263420781</v>
      </c>
      <c r="Q773" s="159">
        <f t="shared" si="491"/>
        <v>2012471.2263420781</v>
      </c>
      <c r="R773" s="159">
        <f t="shared" si="491"/>
        <v>2012471.2263420781</v>
      </c>
      <c r="S773" s="159">
        <f t="shared" si="491"/>
        <v>2012471.2263420781</v>
      </c>
      <c r="T773" s="159">
        <f t="shared" si="491"/>
        <v>2012471.2263420781</v>
      </c>
      <c r="U773" s="159">
        <f t="shared" si="491"/>
        <v>2012471.2263420781</v>
      </c>
      <c r="V773" s="159">
        <f t="shared" si="491"/>
        <v>2012471.2263420781</v>
      </c>
      <c r="W773" s="159">
        <f t="shared" si="491"/>
        <v>2012471.2263420781</v>
      </c>
      <c r="X773" s="159">
        <f t="shared" si="491"/>
        <v>2012471.2263420781</v>
      </c>
      <c r="Y773" s="159">
        <f t="shared" si="491"/>
        <v>2012471.2263420781</v>
      </c>
      <c r="Z773" s="159">
        <f t="shared" si="491"/>
        <v>2012471.2263420781</v>
      </c>
      <c r="AA773" s="159">
        <f t="shared" si="491"/>
        <v>0</v>
      </c>
      <c r="AB773" s="159">
        <f t="shared" si="491"/>
        <v>0</v>
      </c>
      <c r="AC773" s="159">
        <f t="shared" si="491"/>
        <v>0</v>
      </c>
      <c r="AD773" s="159">
        <f t="shared" si="491"/>
        <v>0</v>
      </c>
      <c r="AE773" s="159">
        <f t="shared" si="491"/>
        <v>0</v>
      </c>
      <c r="AF773" s="159">
        <f t="shared" si="491"/>
        <v>0</v>
      </c>
      <c r="AG773" s="159">
        <f t="shared" si="491"/>
        <v>0</v>
      </c>
      <c r="AH773" s="159">
        <f t="shared" si="491"/>
        <v>0</v>
      </c>
      <c r="AI773" s="159">
        <f t="shared" si="491"/>
        <v>0</v>
      </c>
      <c r="AJ773" s="159">
        <f t="shared" si="491"/>
        <v>0</v>
      </c>
      <c r="AK773" s="159">
        <f t="shared" si="491"/>
        <v>0</v>
      </c>
      <c r="AL773" s="159">
        <f t="shared" si="491"/>
        <v>0</v>
      </c>
      <c r="AM773" s="159">
        <f t="shared" si="491"/>
        <v>0</v>
      </c>
      <c r="AN773" s="159">
        <f t="shared" si="491"/>
        <v>0</v>
      </c>
      <c r="AO773" s="159">
        <f t="shared" si="491"/>
        <v>0</v>
      </c>
      <c r="AP773" s="159">
        <f t="shared" si="491"/>
        <v>0</v>
      </c>
    </row>
    <row r="774" spans="1:42" x14ac:dyDescent="0.2">
      <c r="A774" s="22" t="s">
        <v>353</v>
      </c>
      <c r="B774" s="159">
        <v>0</v>
      </c>
      <c r="C774" s="159">
        <f>IF(C$2&lt;=analysis_period,B773*reserves_interest/100,0)</f>
        <v>25155.890329275975</v>
      </c>
      <c r="D774" s="159">
        <f>IF(D$2&lt;=analysis_period,C773*reserves_interest/100,0)</f>
        <v>25155.890329275975</v>
      </c>
      <c r="E774" s="159">
        <f t="shared" ref="E774:AP774" si="492">IF(E$2&lt;=analysis_period,D773*reserves_interest/100,0)</f>
        <v>25155.890329275975</v>
      </c>
      <c r="F774" s="159">
        <f t="shared" si="492"/>
        <v>25155.890329275975</v>
      </c>
      <c r="G774" s="159">
        <f t="shared" si="492"/>
        <v>25155.890329275975</v>
      </c>
      <c r="H774" s="159">
        <f t="shared" si="492"/>
        <v>25155.890329275975</v>
      </c>
      <c r="I774" s="159">
        <f t="shared" si="492"/>
        <v>25155.890329275975</v>
      </c>
      <c r="J774" s="159">
        <f t="shared" si="492"/>
        <v>25155.890329275975</v>
      </c>
      <c r="K774" s="159">
        <f t="shared" si="492"/>
        <v>25155.890329275975</v>
      </c>
      <c r="L774" s="159">
        <f t="shared" si="492"/>
        <v>25155.890329275975</v>
      </c>
      <c r="M774" s="159">
        <f t="shared" si="492"/>
        <v>25155.890329275975</v>
      </c>
      <c r="N774" s="159">
        <f t="shared" si="492"/>
        <v>25155.890329275975</v>
      </c>
      <c r="O774" s="159">
        <f t="shared" si="492"/>
        <v>25155.890329275975</v>
      </c>
      <c r="P774" s="159">
        <f t="shared" si="492"/>
        <v>25155.890329275975</v>
      </c>
      <c r="Q774" s="159">
        <f t="shared" si="492"/>
        <v>25155.890329275975</v>
      </c>
      <c r="R774" s="159">
        <f t="shared" si="492"/>
        <v>25155.890329275975</v>
      </c>
      <c r="S774" s="159">
        <f t="shared" si="492"/>
        <v>25155.890329275975</v>
      </c>
      <c r="T774" s="159">
        <f t="shared" si="492"/>
        <v>25155.890329275975</v>
      </c>
      <c r="U774" s="159">
        <f t="shared" si="492"/>
        <v>25155.890329275975</v>
      </c>
      <c r="V774" s="159">
        <f t="shared" si="492"/>
        <v>25155.890329275975</v>
      </c>
      <c r="W774" s="159">
        <f t="shared" si="492"/>
        <v>25155.890329275975</v>
      </c>
      <c r="X774" s="159">
        <f t="shared" si="492"/>
        <v>25155.890329275975</v>
      </c>
      <c r="Y774" s="159">
        <f t="shared" si="492"/>
        <v>25155.890329275975</v>
      </c>
      <c r="Z774" s="159">
        <f t="shared" si="492"/>
        <v>25155.890329275975</v>
      </c>
      <c r="AA774" s="159">
        <f t="shared" si="492"/>
        <v>25155.890329275975</v>
      </c>
      <c r="AB774" s="159">
        <f t="shared" si="492"/>
        <v>0</v>
      </c>
      <c r="AC774" s="159">
        <f t="shared" si="492"/>
        <v>0</v>
      </c>
      <c r="AD774" s="159">
        <f t="shared" si="492"/>
        <v>0</v>
      </c>
      <c r="AE774" s="159">
        <f t="shared" si="492"/>
        <v>0</v>
      </c>
      <c r="AF774" s="159">
        <f t="shared" si="492"/>
        <v>0</v>
      </c>
      <c r="AG774" s="159">
        <f t="shared" si="492"/>
        <v>0</v>
      </c>
      <c r="AH774" s="159">
        <f t="shared" si="492"/>
        <v>0</v>
      </c>
      <c r="AI774" s="159">
        <f t="shared" si="492"/>
        <v>0</v>
      </c>
      <c r="AJ774" s="159">
        <f t="shared" si="492"/>
        <v>0</v>
      </c>
      <c r="AK774" s="159">
        <f t="shared" si="492"/>
        <v>0</v>
      </c>
      <c r="AL774" s="159">
        <f t="shared" si="492"/>
        <v>0</v>
      </c>
      <c r="AM774" s="159">
        <f t="shared" si="492"/>
        <v>0</v>
      </c>
      <c r="AN774" s="159">
        <f t="shared" si="492"/>
        <v>0</v>
      </c>
      <c r="AO774" s="159">
        <f t="shared" si="492"/>
        <v>0</v>
      </c>
      <c r="AP774" s="159">
        <f t="shared" si="492"/>
        <v>0</v>
      </c>
    </row>
  </sheetData>
  <mergeCells count="4">
    <mergeCell ref="G313:J313"/>
    <mergeCell ref="K313:L313"/>
    <mergeCell ref="G449:J449"/>
    <mergeCell ref="K449:L449"/>
  </mergeCells>
  <pageMargins left="0.5" right="0.5" top="0.5" bottom="0.75" header="0.3" footer="0.3"/>
  <pageSetup scale="75" pageOrder="overThenDown"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G45"/>
  <sheetViews>
    <sheetView zoomScale="90" zoomScaleNormal="90" workbookViewId="0"/>
  </sheetViews>
  <sheetFormatPr defaultRowHeight="15" x14ac:dyDescent="0.25"/>
  <cols>
    <col min="2" max="7" width="15.42578125" customWidth="1"/>
  </cols>
  <sheetData>
    <row r="1" spans="1:7" s="1" customFormat="1" ht="21" thickBot="1" x14ac:dyDescent="0.4">
      <c r="A1" s="220" t="s">
        <v>189</v>
      </c>
      <c r="B1" s="221"/>
      <c r="C1" s="222"/>
      <c r="D1" s="221"/>
      <c r="E1" s="244"/>
      <c r="F1" s="244"/>
      <c r="G1" s="245"/>
    </row>
    <row r="2" spans="1:7" s="1" customFormat="1" ht="12.75" x14ac:dyDescent="0.2">
      <c r="A2" s="2" t="s">
        <v>64</v>
      </c>
      <c r="B2" s="3" t="s">
        <v>30</v>
      </c>
      <c r="C2" s="3" t="s">
        <v>31</v>
      </c>
      <c r="D2" s="3" t="s">
        <v>32</v>
      </c>
      <c r="E2" s="3" t="s">
        <v>33</v>
      </c>
      <c r="F2" s="3" t="s">
        <v>34</v>
      </c>
      <c r="G2" s="246" t="s">
        <v>35</v>
      </c>
    </row>
    <row r="3" spans="1:7" s="1" customFormat="1" ht="12.75" x14ac:dyDescent="0.2">
      <c r="A3" s="93">
        <v>1</v>
      </c>
      <c r="B3" s="162">
        <v>20</v>
      </c>
      <c r="C3" s="168">
        <v>5</v>
      </c>
      <c r="D3" s="162">
        <v>10</v>
      </c>
      <c r="E3" s="162">
        <v>3.33</v>
      </c>
      <c r="F3" s="162">
        <v>2.5</v>
      </c>
      <c r="G3" s="162">
        <f>2.56410256410256*0.5</f>
        <v>1.2820512820512799</v>
      </c>
    </row>
    <row r="4" spans="1:7" s="1" customFormat="1" ht="12.75" x14ac:dyDescent="0.2">
      <c r="A4" s="94">
        <v>2</v>
      </c>
      <c r="B4" s="162">
        <v>32</v>
      </c>
      <c r="C4" s="169">
        <v>9.5</v>
      </c>
      <c r="D4" s="164">
        <v>20</v>
      </c>
      <c r="E4" s="164">
        <v>6.67</v>
      </c>
      <c r="F4" s="164">
        <v>5</v>
      </c>
      <c r="G4" s="164">
        <v>2.5641025641025599</v>
      </c>
    </row>
    <row r="5" spans="1:7" s="1" customFormat="1" ht="12.75" x14ac:dyDescent="0.2">
      <c r="A5" s="94">
        <v>3</v>
      </c>
      <c r="B5" s="162">
        <v>19.2</v>
      </c>
      <c r="C5" s="164">
        <v>8.5500000000000007</v>
      </c>
      <c r="D5" s="164">
        <v>20</v>
      </c>
      <c r="E5" s="164">
        <v>6.67</v>
      </c>
      <c r="F5" s="164">
        <v>5</v>
      </c>
      <c r="G5" s="164">
        <v>2.5641025641025599</v>
      </c>
    </row>
    <row r="6" spans="1:7" s="1" customFormat="1" ht="12.75" x14ac:dyDescent="0.2">
      <c r="A6" s="94">
        <v>4</v>
      </c>
      <c r="B6" s="162">
        <v>11.52</v>
      </c>
      <c r="C6" s="164">
        <v>7.7</v>
      </c>
      <c r="D6" s="164">
        <v>20</v>
      </c>
      <c r="E6" s="164">
        <v>6.67</v>
      </c>
      <c r="F6" s="164">
        <v>5</v>
      </c>
      <c r="G6" s="164">
        <v>2.5641025641025599</v>
      </c>
    </row>
    <row r="7" spans="1:7" s="1" customFormat="1" ht="12.75" x14ac:dyDescent="0.2">
      <c r="A7" s="94">
        <v>5</v>
      </c>
      <c r="B7" s="162">
        <v>11.52</v>
      </c>
      <c r="C7" s="164">
        <v>6.93</v>
      </c>
      <c r="D7" s="164">
        <v>20</v>
      </c>
      <c r="E7" s="164">
        <v>6.67</v>
      </c>
      <c r="F7" s="164">
        <v>5</v>
      </c>
      <c r="G7" s="164">
        <v>2.5641025641025599</v>
      </c>
    </row>
    <row r="8" spans="1:7" s="1" customFormat="1" ht="12.75" x14ac:dyDescent="0.2">
      <c r="A8" s="94">
        <v>6</v>
      </c>
      <c r="B8" s="162">
        <v>5.76</v>
      </c>
      <c r="C8" s="164">
        <v>6.23</v>
      </c>
      <c r="D8" s="164">
        <v>10</v>
      </c>
      <c r="E8" s="164">
        <v>6.67</v>
      </c>
      <c r="F8" s="164">
        <v>5</v>
      </c>
      <c r="G8" s="164">
        <v>2.5641025641025599</v>
      </c>
    </row>
    <row r="9" spans="1:7" s="1" customFormat="1" ht="12.75" x14ac:dyDescent="0.2">
      <c r="A9" s="94">
        <v>7</v>
      </c>
      <c r="B9" s="163">
        <v>0</v>
      </c>
      <c r="C9" s="164">
        <v>5.9</v>
      </c>
      <c r="D9" s="164">
        <v>0</v>
      </c>
      <c r="E9" s="164">
        <v>6.67</v>
      </c>
      <c r="F9" s="164">
        <v>5</v>
      </c>
      <c r="G9" s="164">
        <v>2.5641025641025599</v>
      </c>
    </row>
    <row r="10" spans="1:7" s="1" customFormat="1" ht="12.75" x14ac:dyDescent="0.2">
      <c r="A10" s="94">
        <v>8</v>
      </c>
      <c r="B10" s="164">
        <v>0</v>
      </c>
      <c r="C10" s="164">
        <v>5.9</v>
      </c>
      <c r="D10" s="164">
        <v>0</v>
      </c>
      <c r="E10" s="164">
        <v>6.67</v>
      </c>
      <c r="F10" s="164">
        <v>5</v>
      </c>
      <c r="G10" s="164">
        <v>2.5641025641025599</v>
      </c>
    </row>
    <row r="11" spans="1:7" s="1" customFormat="1" ht="12.75" x14ac:dyDescent="0.2">
      <c r="A11" s="94">
        <v>9</v>
      </c>
      <c r="B11" s="164">
        <v>0</v>
      </c>
      <c r="C11" s="164">
        <v>5.91</v>
      </c>
      <c r="D11" s="164">
        <v>0</v>
      </c>
      <c r="E11" s="164">
        <v>6.67</v>
      </c>
      <c r="F11" s="164">
        <v>5</v>
      </c>
      <c r="G11" s="164">
        <v>2.5641025641025599</v>
      </c>
    </row>
    <row r="12" spans="1:7" s="1" customFormat="1" ht="12.75" x14ac:dyDescent="0.2">
      <c r="A12" s="94">
        <v>10</v>
      </c>
      <c r="B12" s="164">
        <v>0</v>
      </c>
      <c r="C12" s="164">
        <v>5.9</v>
      </c>
      <c r="D12" s="164">
        <v>0</v>
      </c>
      <c r="E12" s="164">
        <v>6.67</v>
      </c>
      <c r="F12" s="164">
        <v>5</v>
      </c>
      <c r="G12" s="164">
        <v>2.5641025641025599</v>
      </c>
    </row>
    <row r="13" spans="1:7" s="1" customFormat="1" ht="12.75" x14ac:dyDescent="0.2">
      <c r="A13" s="94">
        <v>11</v>
      </c>
      <c r="B13" s="164">
        <v>0</v>
      </c>
      <c r="C13" s="164">
        <v>5.91</v>
      </c>
      <c r="D13" s="164">
        <v>0</v>
      </c>
      <c r="E13" s="164">
        <v>6.67</v>
      </c>
      <c r="F13" s="164">
        <v>5</v>
      </c>
      <c r="G13" s="164">
        <v>2.5641025641025599</v>
      </c>
    </row>
    <row r="14" spans="1:7" s="1" customFormat="1" ht="12.75" x14ac:dyDescent="0.2">
      <c r="A14" s="94">
        <v>12</v>
      </c>
      <c r="B14" s="164">
        <v>0</v>
      </c>
      <c r="C14" s="164">
        <v>5.9</v>
      </c>
      <c r="D14" s="164">
        <v>0</v>
      </c>
      <c r="E14" s="164">
        <v>6.66</v>
      </c>
      <c r="F14" s="164">
        <v>5</v>
      </c>
      <c r="G14" s="164">
        <v>2.5641025641025599</v>
      </c>
    </row>
    <row r="15" spans="1:7" s="1" customFormat="1" ht="12.75" x14ac:dyDescent="0.2">
      <c r="A15" s="94">
        <v>13</v>
      </c>
      <c r="B15" s="164">
        <v>0</v>
      </c>
      <c r="C15" s="164">
        <v>5.91</v>
      </c>
      <c r="D15" s="164">
        <v>0</v>
      </c>
      <c r="E15" s="164">
        <v>6.67</v>
      </c>
      <c r="F15" s="164">
        <v>5</v>
      </c>
      <c r="G15" s="164">
        <v>2.5641025641025599</v>
      </c>
    </row>
    <row r="16" spans="1:7" s="1" customFormat="1" ht="12.75" x14ac:dyDescent="0.2">
      <c r="A16" s="94">
        <v>14</v>
      </c>
      <c r="B16" s="164">
        <v>0</v>
      </c>
      <c r="C16" s="164">
        <v>5.9</v>
      </c>
      <c r="D16" s="164">
        <v>0</v>
      </c>
      <c r="E16" s="164">
        <v>6.66</v>
      </c>
      <c r="F16" s="164">
        <v>5</v>
      </c>
      <c r="G16" s="164">
        <v>2.5641025641025599</v>
      </c>
    </row>
    <row r="17" spans="1:7" s="1" customFormat="1" ht="12.75" x14ac:dyDescent="0.2">
      <c r="A17" s="94">
        <v>15</v>
      </c>
      <c r="B17" s="164">
        <v>0</v>
      </c>
      <c r="C17" s="164">
        <v>5.9</v>
      </c>
      <c r="D17" s="164">
        <v>0</v>
      </c>
      <c r="E17" s="164">
        <v>6.67</v>
      </c>
      <c r="F17" s="164">
        <v>5</v>
      </c>
      <c r="G17" s="164">
        <v>2.5641025641025599</v>
      </c>
    </row>
    <row r="18" spans="1:7" s="1" customFormat="1" ht="12.75" x14ac:dyDescent="0.2">
      <c r="A18" s="94">
        <v>16</v>
      </c>
      <c r="B18" s="164">
        <v>0</v>
      </c>
      <c r="C18" s="164">
        <v>2.95</v>
      </c>
      <c r="D18" s="164">
        <v>0</v>
      </c>
      <c r="E18" s="164">
        <v>3.33</v>
      </c>
      <c r="F18" s="164">
        <v>5</v>
      </c>
      <c r="G18" s="164">
        <v>2.5641025641025599</v>
      </c>
    </row>
    <row r="19" spans="1:7" s="1" customFormat="1" ht="12.75" x14ac:dyDescent="0.2">
      <c r="A19" s="94">
        <v>17</v>
      </c>
      <c r="B19" s="164">
        <v>0</v>
      </c>
      <c r="C19" s="164">
        <v>0</v>
      </c>
      <c r="D19" s="164">
        <v>0</v>
      </c>
      <c r="E19" s="164">
        <v>0</v>
      </c>
      <c r="F19" s="164">
        <v>5</v>
      </c>
      <c r="G19" s="164">
        <v>2.5641025641025599</v>
      </c>
    </row>
    <row r="20" spans="1:7" s="1" customFormat="1" ht="12.75" x14ac:dyDescent="0.2">
      <c r="A20" s="94">
        <v>18</v>
      </c>
      <c r="B20" s="164">
        <v>0</v>
      </c>
      <c r="C20" s="164">
        <v>0</v>
      </c>
      <c r="D20" s="164">
        <v>0</v>
      </c>
      <c r="E20" s="164">
        <v>0</v>
      </c>
      <c r="F20" s="164">
        <v>5</v>
      </c>
      <c r="G20" s="164">
        <v>2.5641025641025599</v>
      </c>
    </row>
    <row r="21" spans="1:7" s="1" customFormat="1" ht="12.75" x14ac:dyDescent="0.2">
      <c r="A21" s="94">
        <v>19</v>
      </c>
      <c r="B21" s="164">
        <v>0</v>
      </c>
      <c r="C21" s="164">
        <v>0</v>
      </c>
      <c r="D21" s="164">
        <v>0</v>
      </c>
      <c r="E21" s="164">
        <v>0</v>
      </c>
      <c r="F21" s="164">
        <v>5</v>
      </c>
      <c r="G21" s="164">
        <v>2.5641025641025599</v>
      </c>
    </row>
    <row r="22" spans="1:7" s="1" customFormat="1" ht="12.75" x14ac:dyDescent="0.2">
      <c r="A22" s="94">
        <v>20</v>
      </c>
      <c r="B22" s="164">
        <v>0</v>
      </c>
      <c r="C22" s="164">
        <v>0</v>
      </c>
      <c r="D22" s="164">
        <v>0</v>
      </c>
      <c r="E22" s="164">
        <v>0</v>
      </c>
      <c r="F22" s="164">
        <v>5</v>
      </c>
      <c r="G22" s="164">
        <v>2.5641025641025599</v>
      </c>
    </row>
    <row r="23" spans="1:7" s="1" customFormat="1" ht="12.75" x14ac:dyDescent="0.2">
      <c r="A23" s="94">
        <v>21</v>
      </c>
      <c r="B23" s="164">
        <v>0</v>
      </c>
      <c r="C23" s="164">
        <v>0</v>
      </c>
      <c r="D23" s="164">
        <v>0</v>
      </c>
      <c r="E23" s="164">
        <v>0</v>
      </c>
      <c r="F23" s="164">
        <v>2.5</v>
      </c>
      <c r="G23" s="164">
        <v>2.5641025641025599</v>
      </c>
    </row>
    <row r="24" spans="1:7" s="1" customFormat="1" ht="12.75" customHeight="1" x14ac:dyDescent="0.2">
      <c r="A24" s="94">
        <v>22</v>
      </c>
      <c r="B24" s="164">
        <v>0</v>
      </c>
      <c r="C24" s="164">
        <v>0</v>
      </c>
      <c r="D24" s="164">
        <v>0</v>
      </c>
      <c r="E24" s="164">
        <v>0</v>
      </c>
      <c r="F24" s="164">
        <v>0</v>
      </c>
      <c r="G24" s="164">
        <v>2.5641025641025599</v>
      </c>
    </row>
    <row r="25" spans="1:7" s="1" customFormat="1" ht="12.75" customHeight="1" x14ac:dyDescent="0.2">
      <c r="A25" s="94">
        <v>23</v>
      </c>
      <c r="B25" s="164">
        <v>0</v>
      </c>
      <c r="C25" s="164">
        <v>0</v>
      </c>
      <c r="D25" s="164">
        <v>0</v>
      </c>
      <c r="E25" s="164">
        <v>0</v>
      </c>
      <c r="F25" s="164">
        <v>0</v>
      </c>
      <c r="G25" s="164">
        <v>2.5641025641025599</v>
      </c>
    </row>
    <row r="26" spans="1:7" s="1" customFormat="1" ht="12.75" customHeight="1" x14ac:dyDescent="0.2">
      <c r="A26" s="94">
        <v>24</v>
      </c>
      <c r="B26" s="164">
        <v>0</v>
      </c>
      <c r="C26" s="164">
        <v>0</v>
      </c>
      <c r="D26" s="164">
        <v>0</v>
      </c>
      <c r="E26" s="164">
        <v>0</v>
      </c>
      <c r="F26" s="164">
        <v>0</v>
      </c>
      <c r="G26" s="164">
        <v>2.5641025641025599</v>
      </c>
    </row>
    <row r="27" spans="1:7" s="1" customFormat="1" ht="12.75" customHeight="1" x14ac:dyDescent="0.2">
      <c r="A27" s="94">
        <v>25</v>
      </c>
      <c r="B27" s="164">
        <v>0</v>
      </c>
      <c r="C27" s="164">
        <v>0</v>
      </c>
      <c r="D27" s="164">
        <v>0</v>
      </c>
      <c r="E27" s="164">
        <v>0</v>
      </c>
      <c r="F27" s="164">
        <v>0</v>
      </c>
      <c r="G27" s="164">
        <v>2.5641025641025599</v>
      </c>
    </row>
    <row r="28" spans="1:7" s="1" customFormat="1" ht="12.75" customHeight="1" x14ac:dyDescent="0.2">
      <c r="A28" s="94">
        <v>26</v>
      </c>
      <c r="B28" s="164">
        <v>0</v>
      </c>
      <c r="C28" s="164">
        <v>0</v>
      </c>
      <c r="D28" s="164">
        <v>0</v>
      </c>
      <c r="E28" s="164">
        <v>0</v>
      </c>
      <c r="F28" s="164">
        <v>0</v>
      </c>
      <c r="G28" s="164">
        <v>2.5641025641025599</v>
      </c>
    </row>
    <row r="29" spans="1:7" s="1" customFormat="1" ht="12.75" customHeight="1" x14ac:dyDescent="0.2">
      <c r="A29" s="94">
        <v>27</v>
      </c>
      <c r="B29" s="164">
        <v>0</v>
      </c>
      <c r="C29" s="164">
        <v>0</v>
      </c>
      <c r="D29" s="164">
        <v>0</v>
      </c>
      <c r="E29" s="164">
        <v>0</v>
      </c>
      <c r="F29" s="164">
        <v>0</v>
      </c>
      <c r="G29" s="164">
        <v>2.5641025641025599</v>
      </c>
    </row>
    <row r="30" spans="1:7" ht="12.75" customHeight="1" x14ac:dyDescent="0.25">
      <c r="A30" s="94">
        <v>28</v>
      </c>
      <c r="B30" s="164">
        <v>0</v>
      </c>
      <c r="C30" s="164">
        <v>0</v>
      </c>
      <c r="D30" s="164">
        <v>0</v>
      </c>
      <c r="E30" s="164">
        <v>0</v>
      </c>
      <c r="F30" s="164">
        <v>0</v>
      </c>
      <c r="G30" s="164">
        <v>2.5641025641025599</v>
      </c>
    </row>
    <row r="31" spans="1:7" ht="12.75" customHeight="1" x14ac:dyDescent="0.25">
      <c r="A31" s="94">
        <v>29</v>
      </c>
      <c r="B31" s="164">
        <v>0</v>
      </c>
      <c r="C31" s="164">
        <v>0</v>
      </c>
      <c r="D31" s="164">
        <v>0</v>
      </c>
      <c r="E31" s="164">
        <v>0</v>
      </c>
      <c r="F31" s="164">
        <v>0</v>
      </c>
      <c r="G31" s="164">
        <v>2.5641025641025599</v>
      </c>
    </row>
    <row r="32" spans="1:7" ht="12.75" customHeight="1" x14ac:dyDescent="0.25">
      <c r="A32" s="94">
        <v>30</v>
      </c>
      <c r="B32" s="164">
        <v>0</v>
      </c>
      <c r="C32" s="164">
        <v>0</v>
      </c>
      <c r="D32" s="164">
        <v>0</v>
      </c>
      <c r="E32" s="164">
        <v>0</v>
      </c>
      <c r="F32" s="164">
        <v>0</v>
      </c>
      <c r="G32" s="164">
        <v>2.5641025641025599</v>
      </c>
    </row>
    <row r="33" spans="1:7" ht="12.75" customHeight="1" x14ac:dyDescent="0.25">
      <c r="A33" s="94">
        <v>31</v>
      </c>
      <c r="B33" s="164">
        <v>0</v>
      </c>
      <c r="C33" s="164">
        <v>0</v>
      </c>
      <c r="D33" s="164">
        <v>0</v>
      </c>
      <c r="E33" s="164">
        <v>0</v>
      </c>
      <c r="F33" s="164">
        <v>0</v>
      </c>
      <c r="G33" s="164">
        <v>2.5641025641025599</v>
      </c>
    </row>
    <row r="34" spans="1:7" ht="12.75" customHeight="1" x14ac:dyDescent="0.25">
      <c r="A34" s="94">
        <v>32</v>
      </c>
      <c r="B34" s="164">
        <v>0</v>
      </c>
      <c r="C34" s="164">
        <v>0</v>
      </c>
      <c r="D34" s="164">
        <v>0</v>
      </c>
      <c r="E34" s="164">
        <v>0</v>
      </c>
      <c r="F34" s="164">
        <v>0</v>
      </c>
      <c r="G34" s="164">
        <v>2.5641025641025599</v>
      </c>
    </row>
    <row r="35" spans="1:7" ht="12.75" customHeight="1" x14ac:dyDescent="0.25">
      <c r="A35" s="94">
        <v>33</v>
      </c>
      <c r="B35" s="164">
        <v>0</v>
      </c>
      <c r="C35" s="164">
        <v>0</v>
      </c>
      <c r="D35" s="164">
        <v>0</v>
      </c>
      <c r="E35" s="164">
        <v>0</v>
      </c>
      <c r="F35" s="164">
        <v>0</v>
      </c>
      <c r="G35" s="164">
        <v>2.5641025641025599</v>
      </c>
    </row>
    <row r="36" spans="1:7" ht="12.75" customHeight="1" x14ac:dyDescent="0.25">
      <c r="A36" s="94">
        <v>34</v>
      </c>
      <c r="B36" s="164">
        <v>0</v>
      </c>
      <c r="C36" s="164">
        <v>0</v>
      </c>
      <c r="D36" s="164">
        <v>0</v>
      </c>
      <c r="E36" s="164">
        <v>0</v>
      </c>
      <c r="F36" s="164">
        <v>0</v>
      </c>
      <c r="G36" s="164">
        <v>2.5641025641025599</v>
      </c>
    </row>
    <row r="37" spans="1:7" ht="12.75" customHeight="1" x14ac:dyDescent="0.25">
      <c r="A37" s="94">
        <v>35</v>
      </c>
      <c r="B37" s="164">
        <v>0</v>
      </c>
      <c r="C37" s="164">
        <v>0</v>
      </c>
      <c r="D37" s="164">
        <v>0</v>
      </c>
      <c r="E37" s="164">
        <v>0</v>
      </c>
      <c r="F37" s="164">
        <v>0</v>
      </c>
      <c r="G37" s="164">
        <v>2.5641025641025599</v>
      </c>
    </row>
    <row r="38" spans="1:7" ht="12.75" customHeight="1" x14ac:dyDescent="0.25">
      <c r="A38" s="94">
        <v>36</v>
      </c>
      <c r="B38" s="164">
        <v>0</v>
      </c>
      <c r="C38" s="164">
        <v>0</v>
      </c>
      <c r="D38" s="164">
        <v>0</v>
      </c>
      <c r="E38" s="164">
        <v>0</v>
      </c>
      <c r="F38" s="164">
        <v>0</v>
      </c>
      <c r="G38" s="164">
        <v>2.5641025641025599</v>
      </c>
    </row>
    <row r="39" spans="1:7" ht="12.75" customHeight="1" x14ac:dyDescent="0.25">
      <c r="A39" s="94">
        <v>37</v>
      </c>
      <c r="B39" s="164">
        <v>0</v>
      </c>
      <c r="C39" s="164">
        <v>0</v>
      </c>
      <c r="D39" s="164">
        <v>0</v>
      </c>
      <c r="E39" s="164">
        <v>0</v>
      </c>
      <c r="F39" s="164">
        <v>0</v>
      </c>
      <c r="G39" s="164">
        <v>2.5641025641025599</v>
      </c>
    </row>
    <row r="40" spans="1:7" ht="12.75" customHeight="1" x14ac:dyDescent="0.25">
      <c r="A40" s="94">
        <v>38</v>
      </c>
      <c r="B40" s="164">
        <v>0</v>
      </c>
      <c r="C40" s="164">
        <v>0</v>
      </c>
      <c r="D40" s="164">
        <v>0</v>
      </c>
      <c r="E40" s="164">
        <v>0</v>
      </c>
      <c r="F40" s="164">
        <v>0</v>
      </c>
      <c r="G40" s="164">
        <v>2.5641025641025599</v>
      </c>
    </row>
    <row r="41" spans="1:7" ht="12.75" customHeight="1" x14ac:dyDescent="0.25">
      <c r="A41" s="94">
        <v>39</v>
      </c>
      <c r="B41" s="164">
        <v>0</v>
      </c>
      <c r="C41" s="164">
        <v>0</v>
      </c>
      <c r="D41" s="164">
        <v>0</v>
      </c>
      <c r="E41" s="164">
        <v>0</v>
      </c>
      <c r="F41" s="164">
        <v>0</v>
      </c>
      <c r="G41" s="164">
        <v>2.5641025641025599</v>
      </c>
    </row>
    <row r="42" spans="1:7" ht="12.75" customHeight="1" x14ac:dyDescent="0.25">
      <c r="A42" s="95">
        <v>40</v>
      </c>
      <c r="B42" s="165">
        <v>0</v>
      </c>
      <c r="C42" s="165">
        <v>0</v>
      </c>
      <c r="D42" s="165">
        <v>0</v>
      </c>
      <c r="E42" s="165">
        <v>0</v>
      </c>
      <c r="F42" s="165">
        <v>0</v>
      </c>
      <c r="G42" s="165">
        <f>2.56410256410256*0.5</f>
        <v>1.2820512820512799</v>
      </c>
    </row>
    <row r="43" spans="1:7" x14ac:dyDescent="0.25">
      <c r="A43" s="92" t="s">
        <v>164</v>
      </c>
      <c r="B43" s="92"/>
      <c r="C43" s="92"/>
      <c r="D43" s="92"/>
      <c r="E43" s="92"/>
      <c r="F43" s="92"/>
      <c r="G43" s="92"/>
    </row>
    <row r="44" spans="1:7" x14ac:dyDescent="0.25">
      <c r="A44" s="92" t="s">
        <v>80</v>
      </c>
      <c r="B44" s="92"/>
      <c r="C44" s="92"/>
      <c r="D44" s="92"/>
      <c r="E44" s="92"/>
      <c r="F44" s="92"/>
      <c r="G44" s="92"/>
    </row>
    <row r="45" spans="1:7" x14ac:dyDescent="0.25">
      <c r="A45" s="271" t="s">
        <v>246</v>
      </c>
    </row>
  </sheetData>
  <pageMargins left="0.5" right="0.5" top="0.5" bottom="0.75" header="0.3" footer="0.3"/>
  <pageSetup scale="9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261</vt:i4>
      </vt:variant>
    </vt:vector>
  </HeadingPairs>
  <TitlesOfParts>
    <vt:vector size="264" baseType="lpstr">
      <vt:lpstr>Inputs</vt:lpstr>
      <vt:lpstr>Cash Flow</vt:lpstr>
      <vt:lpstr>Depreciation Schedules</vt:lpstr>
      <vt:lpstr>analysis_period</vt:lpstr>
      <vt:lpstr>annual_fuel_usage</vt:lpstr>
      <vt:lpstr>AnnualLandLease</vt:lpstr>
      <vt:lpstr>AnnualOMCapacity</vt:lpstr>
      <vt:lpstr>AnnualOMFixed</vt:lpstr>
      <vt:lpstr>AnnualOMProduction</vt:lpstr>
      <vt:lpstr>AnnualPBIFederal</vt:lpstr>
      <vt:lpstr>AnnualPBIOther</vt:lpstr>
      <vt:lpstr>AnnualPBIState</vt:lpstr>
      <vt:lpstr>AnnualPBIUtility</vt:lpstr>
      <vt:lpstr>AnnualPTCFederal</vt:lpstr>
      <vt:lpstr>AnnualPTCState</vt:lpstr>
      <vt:lpstr>AnnualTaxFederal</vt:lpstr>
      <vt:lpstr>AnnualTaxState</vt:lpstr>
      <vt:lpstr>batt_annual_discharge_energy</vt:lpstr>
      <vt:lpstr>cbi_fed_amount</vt:lpstr>
      <vt:lpstr>cbi_fed_deprbas_fed</vt:lpstr>
      <vt:lpstr>cbi_fed_deprbas_sta</vt:lpstr>
      <vt:lpstr>cbi_fed_maxvalue</vt:lpstr>
      <vt:lpstr>cbi_fed_tax_fed</vt:lpstr>
      <vt:lpstr>cbi_fed_tax_sta</vt:lpstr>
      <vt:lpstr>cbi_oth_amount</vt:lpstr>
      <vt:lpstr>cbi_oth_deprbas_fed</vt:lpstr>
      <vt:lpstr>cbi_oth_deprbas_sta</vt:lpstr>
      <vt:lpstr>cbi_oth_maxvalue</vt:lpstr>
      <vt:lpstr>cbi_oth_tax_fed</vt:lpstr>
      <vt:lpstr>cbi_oth_tax_sta</vt:lpstr>
      <vt:lpstr>cbi_sta_amount</vt:lpstr>
      <vt:lpstr>cbi_sta_deprbas_fed</vt:lpstr>
      <vt:lpstr>cbi_sta_deprbas_sta</vt:lpstr>
      <vt:lpstr>cbi_sta_maxvalue</vt:lpstr>
      <vt:lpstr>cbi_sta_tax_fed</vt:lpstr>
      <vt:lpstr>cbi_sta_tax_sta</vt:lpstr>
      <vt:lpstr>cbi_uti_amount</vt:lpstr>
      <vt:lpstr>cbi_uti_deprbas_fed</vt:lpstr>
      <vt:lpstr>cbi_uti_deprbas_sta</vt:lpstr>
      <vt:lpstr>cbi_uti_maxvalue</vt:lpstr>
      <vt:lpstr>cbi_uti_tax_fed</vt:lpstr>
      <vt:lpstr>cbi_uti_tax_sta</vt:lpstr>
      <vt:lpstr>cf_annual_cost_lcos</vt:lpstr>
      <vt:lpstr>cf_annual_discharge_lcos</vt:lpstr>
      <vt:lpstr>cf_battery_replacement_cost</vt:lpstr>
      <vt:lpstr>cf_capacity_payment</vt:lpstr>
      <vt:lpstr>cf_curtailment_value</vt:lpstr>
      <vt:lpstr>cf_energy_net</vt:lpstr>
      <vt:lpstr>cf_energy_purchases</vt:lpstr>
      <vt:lpstr>cf_energy_sales</vt:lpstr>
      <vt:lpstr>cf_energy_value</vt:lpstr>
      <vt:lpstr>cf_energy_without_battery</vt:lpstr>
      <vt:lpstr>cf_fuelcell_replacement_cost</vt:lpstr>
      <vt:lpstr>cf_om_capacity1_expense</vt:lpstr>
      <vt:lpstr>cf_om_capacity2_expense</vt:lpstr>
      <vt:lpstr>cf_om_fixed1_expense</vt:lpstr>
      <vt:lpstr>cf_om_fixed2_expense</vt:lpstr>
      <vt:lpstr>cf_om_fuel_expense</vt:lpstr>
      <vt:lpstr>cf_om_opt_fuel_1_expense</vt:lpstr>
      <vt:lpstr>cf_om_opt_fuel_2_expense</vt:lpstr>
      <vt:lpstr>cf_om_production1_expense</vt:lpstr>
      <vt:lpstr>cf_om_production2_expense</vt:lpstr>
      <vt:lpstr>cf_ppa_price</vt:lpstr>
      <vt:lpstr>cf_recapitalization</vt:lpstr>
      <vt:lpstr>cf_thermal_value</vt:lpstr>
      <vt:lpstr>cf_utility_bill</vt:lpstr>
      <vt:lpstr>const_per_interest_rate1</vt:lpstr>
      <vt:lpstr>const_per_interest_rate2</vt:lpstr>
      <vt:lpstr>const_per_interest_rate3</vt:lpstr>
      <vt:lpstr>const_per_interest_rate4</vt:lpstr>
      <vt:lpstr>const_per_interest_rate5</vt:lpstr>
      <vt:lpstr>const_per_months1</vt:lpstr>
      <vt:lpstr>const_per_months2</vt:lpstr>
      <vt:lpstr>const_per_months3</vt:lpstr>
      <vt:lpstr>const_per_months4</vt:lpstr>
      <vt:lpstr>const_per_months5</vt:lpstr>
      <vt:lpstr>const_per_percent1</vt:lpstr>
      <vt:lpstr>const_per_percent2</vt:lpstr>
      <vt:lpstr>const_per_percent3</vt:lpstr>
      <vt:lpstr>const_per_percent4</vt:lpstr>
      <vt:lpstr>const_per_percent5</vt:lpstr>
      <vt:lpstr>const_per_upfront_rate1</vt:lpstr>
      <vt:lpstr>const_per_upfront_rate2</vt:lpstr>
      <vt:lpstr>const_per_upfront_rate3</vt:lpstr>
      <vt:lpstr>const_per_upfront_rate4</vt:lpstr>
      <vt:lpstr>const_per_upfront_rate5</vt:lpstr>
      <vt:lpstr>construction_financing_cost</vt:lpstr>
      <vt:lpstr>cost_dev_fee_percent</vt:lpstr>
      <vt:lpstr>cost_equity_closing</vt:lpstr>
      <vt:lpstr>cost_other_financing</vt:lpstr>
      <vt:lpstr>depr_alloc_custom_percent</vt:lpstr>
      <vt:lpstr>depr_alloc_macrs_15_percent</vt:lpstr>
      <vt:lpstr>depr_alloc_macrs_5_percent</vt:lpstr>
      <vt:lpstr>depr_alloc_sl_15_percent</vt:lpstr>
      <vt:lpstr>depr_alloc_sl_20_percent</vt:lpstr>
      <vt:lpstr>depr_alloc_sl_39_percent</vt:lpstr>
      <vt:lpstr>depr_alloc_sl_5_percent</vt:lpstr>
      <vt:lpstr>depr_bonus_fed</vt:lpstr>
      <vt:lpstr>depr_bonus_fed_custom</vt:lpstr>
      <vt:lpstr>depr_bonus_fed_macrs_15</vt:lpstr>
      <vt:lpstr>depr_bonus_fed_macrs_5</vt:lpstr>
      <vt:lpstr>depr_bonus_fed_sl_15</vt:lpstr>
      <vt:lpstr>depr_bonus_fed_sl_20</vt:lpstr>
      <vt:lpstr>depr_bonus_fed_sl_39</vt:lpstr>
      <vt:lpstr>depr_bonus_fed_sl_5</vt:lpstr>
      <vt:lpstr>depr_bonus_sta</vt:lpstr>
      <vt:lpstr>depr_bonus_sta_custom</vt:lpstr>
      <vt:lpstr>depr_bonus_sta_macrs_15</vt:lpstr>
      <vt:lpstr>depr_bonus_sta_macrs_5</vt:lpstr>
      <vt:lpstr>depr_bonus_sta_sl_15</vt:lpstr>
      <vt:lpstr>depr_bonus_sta_sl_20</vt:lpstr>
      <vt:lpstr>depr_bonus_sta_sl_39</vt:lpstr>
      <vt:lpstr>depr_bonus_sta_sl_5</vt:lpstr>
      <vt:lpstr>depr_custom_schedule</vt:lpstr>
      <vt:lpstr>depr_itc_fed_custom</vt:lpstr>
      <vt:lpstr>depr_itc_fed_macrs_15</vt:lpstr>
      <vt:lpstr>depr_itc_fed_macrs_5</vt:lpstr>
      <vt:lpstr>depr_itc_fed_sl_15</vt:lpstr>
      <vt:lpstr>depr_itc_fed_sl_20</vt:lpstr>
      <vt:lpstr>depr_itc_fed_sl_39</vt:lpstr>
      <vt:lpstr>depr_itc_fed_sl_5</vt:lpstr>
      <vt:lpstr>depr_itc_sta_custom</vt:lpstr>
      <vt:lpstr>depr_itc_sta_macrs_15</vt:lpstr>
      <vt:lpstr>depr_itc_sta_macrs_5</vt:lpstr>
      <vt:lpstr>depr_itc_sta_sl_15</vt:lpstr>
      <vt:lpstr>depr_itc_sta_sl_20</vt:lpstr>
      <vt:lpstr>depr_itc_sta_sl_39</vt:lpstr>
      <vt:lpstr>depr_itc_sta_sl_5</vt:lpstr>
      <vt:lpstr>DeveloperMargin</vt:lpstr>
      <vt:lpstr>equip_reserve_depr_fed</vt:lpstr>
      <vt:lpstr>equip_reserve_depr_sta</vt:lpstr>
      <vt:lpstr>equip1_reserve_cost</vt:lpstr>
      <vt:lpstr>equip1_reserve_freq</vt:lpstr>
      <vt:lpstr>equip2_reserve_cost</vt:lpstr>
      <vt:lpstr>equip2_reserve_freq</vt:lpstr>
      <vt:lpstr>equip3_reserve_cost</vt:lpstr>
      <vt:lpstr>equip3_reserve_freq</vt:lpstr>
      <vt:lpstr>federal_tax_rate</vt:lpstr>
      <vt:lpstr>flip_target_year</vt:lpstr>
      <vt:lpstr>fuelcell_annual_energy_discharged</vt:lpstr>
      <vt:lpstr>FuelCellFuel</vt:lpstr>
      <vt:lpstr>ibi_fed_amount</vt:lpstr>
      <vt:lpstr>ibi_fed_amount_deprbas_fed</vt:lpstr>
      <vt:lpstr>ibi_fed_amount_deprbas_sta</vt:lpstr>
      <vt:lpstr>ibi_fed_amount_tax_fed</vt:lpstr>
      <vt:lpstr>ibi_fed_amount_tax_sta</vt:lpstr>
      <vt:lpstr>ibi_fed_percent</vt:lpstr>
      <vt:lpstr>ibi_fed_percent_deprbas_fed</vt:lpstr>
      <vt:lpstr>ibi_fed_percent_deprbas_sta</vt:lpstr>
      <vt:lpstr>ibi_fed_percent_maxvalue</vt:lpstr>
      <vt:lpstr>ibi_fed_percent_tax_fed</vt:lpstr>
      <vt:lpstr>ibi_fed_percent_tax_sta</vt:lpstr>
      <vt:lpstr>ibi_oth_amount</vt:lpstr>
      <vt:lpstr>ibi_oth_amount_deprbas_fed</vt:lpstr>
      <vt:lpstr>ibi_oth_amount_deprbas_sta</vt:lpstr>
      <vt:lpstr>ibi_oth_amount_tax_fed</vt:lpstr>
      <vt:lpstr>ibi_oth_amount_tax_sta</vt:lpstr>
      <vt:lpstr>ibi_oth_percent</vt:lpstr>
      <vt:lpstr>ibi_oth_percent_deprbas_fed</vt:lpstr>
      <vt:lpstr>ibi_oth_percent_deprbas_sta</vt:lpstr>
      <vt:lpstr>ibi_oth_percent_maxvalue</vt:lpstr>
      <vt:lpstr>ibi_oth_percent_tax_fed</vt:lpstr>
      <vt:lpstr>ibi_oth_percent_tax_sta</vt:lpstr>
      <vt:lpstr>ibi_sta_amount</vt:lpstr>
      <vt:lpstr>ibi_sta_amount_deprbas_fed</vt:lpstr>
      <vt:lpstr>ibi_sta_amount_deprbas_sta</vt:lpstr>
      <vt:lpstr>ibi_sta_amount_tax_fed</vt:lpstr>
      <vt:lpstr>ibi_sta_amount_tax_sta</vt:lpstr>
      <vt:lpstr>ibi_sta_percent</vt:lpstr>
      <vt:lpstr>ibi_sta_percent_deprbas_fed</vt:lpstr>
      <vt:lpstr>ibi_sta_percent_deprbas_sta</vt:lpstr>
      <vt:lpstr>ibi_sta_percent_maxvalue</vt:lpstr>
      <vt:lpstr>ibi_sta_percent_tax_fed</vt:lpstr>
      <vt:lpstr>ibi_sta_percent_tax_sta</vt:lpstr>
      <vt:lpstr>ibi_uti_amount</vt:lpstr>
      <vt:lpstr>ibi_uti_amount_deprbas_fed</vt:lpstr>
      <vt:lpstr>ibi_uti_amount_deprbas_sta</vt:lpstr>
      <vt:lpstr>ibi_uti_amount_tax_fed</vt:lpstr>
      <vt:lpstr>ibi_uti_amount_tax_sta</vt:lpstr>
      <vt:lpstr>ibi_uti_percent</vt:lpstr>
      <vt:lpstr>ibi_uti_percent_deprbas_fed</vt:lpstr>
      <vt:lpstr>ibi_uti_percent_deprbas_sta</vt:lpstr>
      <vt:lpstr>ibi_uti_percent_maxvalue</vt:lpstr>
      <vt:lpstr>ibi_uti_percent_tax_fed</vt:lpstr>
      <vt:lpstr>ibi_uti_percent_tax_sta</vt:lpstr>
      <vt:lpstr>inflation_rate</vt:lpstr>
      <vt:lpstr>insurance_rate</vt:lpstr>
      <vt:lpstr>IRRTarget</vt:lpstr>
      <vt:lpstr>itc_fed_amount</vt:lpstr>
      <vt:lpstr>itc_fed_amount_deprbas_fed</vt:lpstr>
      <vt:lpstr>itc_fed_amount_deprbas_sta</vt:lpstr>
      <vt:lpstr>itc_fed_percent</vt:lpstr>
      <vt:lpstr>itc_fed_percent_deprbas_fed</vt:lpstr>
      <vt:lpstr>itc_fed_percent_deprbas_sta</vt:lpstr>
      <vt:lpstr>itc_fed_percent_maxvalue</vt:lpstr>
      <vt:lpstr>itc_sta_amount</vt:lpstr>
      <vt:lpstr>itc_sta_amount_deprbas_fed</vt:lpstr>
      <vt:lpstr>itc_sta_amount_deprbas_sta</vt:lpstr>
      <vt:lpstr>itc_sta_percent</vt:lpstr>
      <vt:lpstr>itc_sta_percent_deprbas_fed</vt:lpstr>
      <vt:lpstr>itc_sta_percent_deprbas_sta</vt:lpstr>
      <vt:lpstr>itc_sta_percent_maxvalue</vt:lpstr>
      <vt:lpstr>months_receivables_reserve</vt:lpstr>
      <vt:lpstr>months_working_reserve</vt:lpstr>
      <vt:lpstr>NominalDiscountRate</vt:lpstr>
      <vt:lpstr>om_capacity</vt:lpstr>
      <vt:lpstr>om_capacity_escal</vt:lpstr>
      <vt:lpstr>om_fixed</vt:lpstr>
      <vt:lpstr>om_fixed_escal</vt:lpstr>
      <vt:lpstr>om_fuel_cost</vt:lpstr>
      <vt:lpstr>om_fuel_cost_escal</vt:lpstr>
      <vt:lpstr>om_land_lease</vt:lpstr>
      <vt:lpstr>om_land_lease_escal</vt:lpstr>
      <vt:lpstr>om_production</vt:lpstr>
      <vt:lpstr>om_production_escal</vt:lpstr>
      <vt:lpstr>pbi_fed_amount</vt:lpstr>
      <vt:lpstr>pbi_fed_escal</vt:lpstr>
      <vt:lpstr>pbi_fed_for_ds</vt:lpstr>
      <vt:lpstr>pbi_fed_tax_fed</vt:lpstr>
      <vt:lpstr>pbi_fed_tax_sta</vt:lpstr>
      <vt:lpstr>pbi_fed_term</vt:lpstr>
      <vt:lpstr>pbi_oth_amount</vt:lpstr>
      <vt:lpstr>pbi_oth_escal</vt:lpstr>
      <vt:lpstr>pbi_oth_for_ds</vt:lpstr>
      <vt:lpstr>pbi_oth_tax_fed</vt:lpstr>
      <vt:lpstr>pbi_oth_tax_sta</vt:lpstr>
      <vt:lpstr>pbi_oth_term</vt:lpstr>
      <vt:lpstr>pbi_sta_amount</vt:lpstr>
      <vt:lpstr>pbi_sta_escal</vt:lpstr>
      <vt:lpstr>pbi_sta_for_ds</vt:lpstr>
      <vt:lpstr>pbi_sta_tax_fed</vt:lpstr>
      <vt:lpstr>pbi_sta_tax_sta</vt:lpstr>
      <vt:lpstr>pbi_sta_term</vt:lpstr>
      <vt:lpstr>pbi_uti_amount</vt:lpstr>
      <vt:lpstr>pbi_uti_escal</vt:lpstr>
      <vt:lpstr>pbi_uti_for_ds</vt:lpstr>
      <vt:lpstr>pbi_uti_tax_fed</vt:lpstr>
      <vt:lpstr>pbi_uti_tax_sta</vt:lpstr>
      <vt:lpstr>pbi_uti_term</vt:lpstr>
      <vt:lpstr>ppa_escalation</vt:lpstr>
      <vt:lpstr>PPAPriceInput</vt:lpstr>
      <vt:lpstr>prop_tax_assessed_decline</vt:lpstr>
      <vt:lpstr>prop_tax_cost_assessed_percent</vt:lpstr>
      <vt:lpstr>property_tax_rate</vt:lpstr>
      <vt:lpstr>PropertyTaxAssessedValue</vt:lpstr>
      <vt:lpstr>ptc_fed_amount</vt:lpstr>
      <vt:lpstr>ptc_fed_escal</vt:lpstr>
      <vt:lpstr>ptc_fed_term</vt:lpstr>
      <vt:lpstr>ptc_sta_amount</vt:lpstr>
      <vt:lpstr>ptc_sta_escal</vt:lpstr>
      <vt:lpstr>ptc_sta_term</vt:lpstr>
      <vt:lpstr>real_discount_rate</vt:lpstr>
      <vt:lpstr>reserves_interest</vt:lpstr>
      <vt:lpstr>sales_tax_rate</vt:lpstr>
      <vt:lpstr>salvage_percentage</vt:lpstr>
      <vt:lpstr>sponsor_operating_margin</vt:lpstr>
      <vt:lpstr>sponsor_operating_margin_escalation</vt:lpstr>
      <vt:lpstr>state_tax_rate</vt:lpstr>
      <vt:lpstr>system_capacity</vt:lpstr>
      <vt:lpstr>system_heat_rate</vt:lpstr>
      <vt:lpstr>tax_investor_required_lease_reserve</vt:lpstr>
      <vt:lpstr>TODMultipliersApply</vt:lpstr>
      <vt:lpstr>total_installed_cost</vt:lpstr>
      <vt:lpstr>total_land_area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2022-05-12T21:50:04Z</dcterms:created>
  <dcterms:modified xsi:type="dcterms:W3CDTF">2023-07-20T16:46:25Z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_assessed_decline" linkTarget="prop_tax_assessed_decline">
    <vt:r8>0</vt:r8>
  </property>
  <property fmtid="{D5CDD505-2E9C-101B-9397-08002B2CF9AE}" pid="3" name="tax_cost_assessed_percent" linkTarget="prop_tax_cost_assessed_percent">
    <vt:r8>100</vt:r8>
  </property>
</Properties>
</file>